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480" windowHeight="10095"/>
  </bookViews>
  <sheets>
    <sheet name="Incentive Calc (FF) " sheetId="2" r:id="rId1"/>
    <sheet name="incentive calc (DISB)" sheetId="8" r:id="rId2"/>
    <sheet name="Incentive Calc (OCM)" sheetId="7" r:id="rId3"/>
    <sheet name="mgmt fee" sheetId="4" r:id="rId4"/>
    <sheet name="mgmt fee on draws" sheetId="3" r:id="rId5"/>
  </sheets>
  <externalReferences>
    <externalReference r:id="rId6"/>
  </externalReferences>
  <definedNames>
    <definedName name="CQNETINCOME" localSheetId="2">'[1]Operating Highlights'!$R$31</definedName>
    <definedName name="CQNETINCOME">'[1]Operating Highlights'!$R$31</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localSheetId="1" hidden="1">41911.4829398148</definedName>
    <definedName name="IQ_NAMES_REVISION_DATE_" hidden="1">41911.4829398148</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1">'incentive calc (DISB)'!$A$1:$L$63</definedName>
    <definedName name="_xlnm.Print_Area" localSheetId="0">'Incentive Calc (FF) '!$A$1:$K$69</definedName>
    <definedName name="_xlnm.Print_Area" localSheetId="3">'mgmt fee'!$A$1:$C$29</definedName>
  </definedNames>
  <calcPr calcId="145621"/>
</workbook>
</file>

<file path=xl/calcChain.xml><?xml version="1.0" encoding="utf-8"?>
<calcChain xmlns="http://schemas.openxmlformats.org/spreadsheetml/2006/main">
  <c r="C45" i="8" l="1"/>
  <c r="C30" i="8"/>
  <c r="C22" i="8"/>
  <c r="C21" i="8"/>
  <c r="C23" i="8" s="1"/>
  <c r="C17" i="8" l="1"/>
  <c r="C18" i="8" s="1"/>
  <c r="E15" i="8" s="1"/>
  <c r="C25" i="8"/>
  <c r="C27" i="8"/>
  <c r="E30" i="8" l="1"/>
  <c r="E22" i="8"/>
  <c r="E21" i="8"/>
  <c r="E24" i="8"/>
  <c r="C31" i="8"/>
  <c r="C46" i="8" s="1"/>
  <c r="E45" i="8" l="1"/>
  <c r="C32" i="8"/>
  <c r="E23" i="8"/>
  <c r="E25" i="8" l="1"/>
  <c r="C35" i="8"/>
  <c r="E27" i="8"/>
  <c r="E32" i="8" l="1"/>
  <c r="G24" i="8"/>
  <c r="E31" i="8"/>
  <c r="E46" i="8" s="1"/>
  <c r="C52" i="8"/>
  <c r="C36" i="8"/>
  <c r="C47" i="8" s="1"/>
  <c r="E35" i="8" l="1"/>
  <c r="C37" i="8"/>
  <c r="C40" i="8" s="1"/>
  <c r="G45" i="8"/>
  <c r="C41" i="8" l="1"/>
  <c r="C48" i="8" s="1"/>
  <c r="C49" i="8" s="1"/>
  <c r="E52" i="8"/>
  <c r="E36" i="8"/>
  <c r="E47" i="8" s="1"/>
  <c r="E37" i="8"/>
  <c r="E40" i="8" s="1"/>
  <c r="E41" i="8" l="1"/>
  <c r="E48" i="8" s="1"/>
  <c r="E49" i="8"/>
  <c r="C42" i="8"/>
  <c r="C53" i="8" s="1"/>
  <c r="C54" i="8" s="1"/>
  <c r="C56" i="8" s="1"/>
  <c r="E42" i="8" l="1"/>
  <c r="E53" i="8" l="1"/>
  <c r="E54" i="8" s="1"/>
  <c r="E56" i="8" s="1"/>
  <c r="E17" i="8"/>
  <c r="E18" i="8" s="1"/>
  <c r="G15" i="8" s="1"/>
  <c r="G21" i="8" l="1"/>
  <c r="G22" i="8"/>
  <c r="G30" i="8"/>
  <c r="G23" i="8" l="1"/>
  <c r="G17" i="8" l="1"/>
  <c r="G18" i="8" s="1"/>
  <c r="I15" i="8" s="1"/>
  <c r="G25" i="8"/>
  <c r="G27" i="8"/>
  <c r="I24" i="8" l="1"/>
  <c r="G31" i="8"/>
  <c r="G46" i="8" s="1"/>
  <c r="I30" i="8"/>
  <c r="I22" i="8"/>
  <c r="I21" i="8"/>
  <c r="I23" i="8" s="1"/>
  <c r="I25" i="8" l="1"/>
  <c r="G32" i="8"/>
  <c r="I45" i="8"/>
  <c r="I27" i="8"/>
  <c r="G35" i="8" l="1"/>
  <c r="I31" i="8"/>
  <c r="I46" i="8" s="1"/>
  <c r="G52" i="8" l="1"/>
  <c r="G36" i="8"/>
  <c r="G47" i="8" s="1"/>
  <c r="G37" i="8"/>
  <c r="G40" i="8" s="1"/>
  <c r="I32" i="8"/>
  <c r="G41" i="8" l="1"/>
  <c r="G48" i="8" s="1"/>
  <c r="I35" i="8"/>
  <c r="G49" i="8"/>
  <c r="I52" i="8" l="1"/>
  <c r="I36" i="8"/>
  <c r="I37" i="8"/>
  <c r="I40" i="8" s="1"/>
  <c r="G42" i="8"/>
  <c r="G53" i="8" s="1"/>
  <c r="G54" i="8" s="1"/>
  <c r="G56" i="8" s="1"/>
  <c r="I41" i="8" l="1"/>
  <c r="I48" i="8" s="1"/>
  <c r="I47" i="8"/>
  <c r="I49" i="8" l="1"/>
  <c r="I42" i="8"/>
  <c r="I53" i="8" l="1"/>
  <c r="I54" i="8" s="1"/>
  <c r="I56" i="8" s="1"/>
  <c r="I17" i="8"/>
  <c r="I18" i="8" s="1"/>
  <c r="B9" i="7" l="1"/>
  <c r="B8" i="7"/>
  <c r="B11" i="7" s="1"/>
  <c r="B13" i="7" l="1"/>
  <c r="B14" i="7" s="1"/>
  <c r="B29" i="7"/>
  <c r="D6" i="7" s="1"/>
  <c r="B26" i="7"/>
  <c r="B31" i="7" s="1"/>
  <c r="D15" i="7" s="1"/>
  <c r="C72" i="2"/>
  <c r="C81" i="2" s="1"/>
  <c r="C21" i="2"/>
  <c r="C22" i="2" s="1"/>
  <c r="C24" i="2" s="1"/>
  <c r="B18" i="7" l="1"/>
  <c r="B19" i="7" s="1"/>
  <c r="B16" i="7"/>
  <c r="B20" i="7"/>
  <c r="D9" i="7"/>
  <c r="D8" i="7"/>
  <c r="D11" i="7" s="1"/>
  <c r="I85" i="2"/>
  <c r="G85" i="2"/>
  <c r="E85" i="2"/>
  <c r="C85" i="2"/>
  <c r="C23" i="2"/>
  <c r="D13" i="7" l="1"/>
  <c r="D14" i="7" s="1"/>
  <c r="D26" i="7"/>
  <c r="D31" i="7"/>
  <c r="D29" i="7"/>
  <c r="B22" i="7"/>
  <c r="E21" i="2"/>
  <c r="E22" i="2" s="1"/>
  <c r="E23" i="2" s="1"/>
  <c r="C76" i="2"/>
  <c r="D16" i="7" l="1"/>
  <c r="D18" i="7" s="1"/>
  <c r="B23" i="7"/>
  <c r="B24" i="7"/>
  <c r="F15" i="7"/>
  <c r="E24" i="2"/>
  <c r="G21" i="2"/>
  <c r="G22" i="2" s="1"/>
  <c r="G23" i="2" s="1"/>
  <c r="E76" i="2"/>
  <c r="D19" i="7" l="1"/>
  <c r="D20" i="7"/>
  <c r="D22" i="7"/>
  <c r="B33" i="7"/>
  <c r="B28" i="7"/>
  <c r="G24" i="2"/>
  <c r="I21" i="2"/>
  <c r="I22" i="2" s="1"/>
  <c r="I23" i="2" s="1"/>
  <c r="I76" i="2" s="1"/>
  <c r="G76" i="2"/>
  <c r="D23" i="7" l="1"/>
  <c r="D24" i="7"/>
  <c r="D33" i="7"/>
  <c r="D28" i="7"/>
  <c r="F6" i="7" s="1"/>
  <c r="I24" i="2"/>
  <c r="F9" i="7" l="1"/>
  <c r="F8" i="7"/>
  <c r="F11" i="7" l="1"/>
  <c r="F26" i="7" l="1"/>
  <c r="F13" i="7"/>
  <c r="F14" i="7" s="1"/>
  <c r="F29" i="7"/>
  <c r="F20" i="7" l="1"/>
  <c r="F18" i="7"/>
  <c r="F22" i="7" s="1"/>
  <c r="F16" i="7"/>
  <c r="H15" i="7"/>
  <c r="F31" i="7"/>
  <c r="F19" i="7" l="1"/>
  <c r="F23" i="7"/>
  <c r="F24" i="7"/>
  <c r="F33" i="7" s="1"/>
  <c r="C28" i="2"/>
  <c r="C27" i="2"/>
  <c r="F28" i="7" l="1"/>
  <c r="H6" i="7" s="1"/>
  <c r="C29" i="2"/>
  <c r="B3" i="3"/>
  <c r="D27" i="3"/>
  <c r="B21" i="3" s="1"/>
  <c r="B13" i="3"/>
  <c r="B17" i="3" s="1"/>
  <c r="B19" i="3" s="1"/>
  <c r="H9" i="7" l="1"/>
  <c r="H8" i="7"/>
  <c r="H11" i="7" s="1"/>
  <c r="C32" i="2"/>
  <c r="C73" i="2"/>
  <c r="C82" i="2" s="1"/>
  <c r="B25" i="3"/>
  <c r="H13" i="7" l="1"/>
  <c r="H14" i="7" s="1"/>
  <c r="H26" i="7"/>
  <c r="H31" i="7" s="1"/>
  <c r="H29" i="7"/>
  <c r="C33" i="2"/>
  <c r="C34" i="2"/>
  <c r="C74" i="2"/>
  <c r="H18" i="7" l="1"/>
  <c r="H16" i="7"/>
  <c r="C37" i="2"/>
  <c r="C38" i="2" s="1"/>
  <c r="C83" i="2"/>
  <c r="C86" i="2" s="1"/>
  <c r="C87" i="2" s="1"/>
  <c r="C77" i="2"/>
  <c r="C78" i="2" s="1"/>
  <c r="B24" i="4"/>
  <c r="B20" i="4"/>
  <c r="B18" i="4"/>
  <c r="B14" i="4"/>
  <c r="H22" i="7" l="1"/>
  <c r="H20" i="7"/>
  <c r="H19" i="7"/>
  <c r="C39" i="2"/>
  <c r="C42" i="2" s="1"/>
  <c r="H24" i="7" l="1"/>
  <c r="H33" i="7" s="1"/>
  <c r="H23" i="7"/>
  <c r="C44" i="2"/>
  <c r="C43" i="2" s="1"/>
  <c r="C46" i="2" s="1"/>
  <c r="H28" i="7" l="1"/>
  <c r="C47" i="2"/>
  <c r="E75" i="2" s="1"/>
  <c r="C55" i="2" l="1"/>
  <c r="E84" i="2"/>
  <c r="C51" i="2"/>
  <c r="C50" i="2" s="1"/>
  <c r="C17" i="2" s="1"/>
  <c r="C54" i="2"/>
  <c r="C56" i="2" s="1"/>
  <c r="C18" i="2" l="1"/>
  <c r="E15" i="2" s="1"/>
  <c r="E72" i="2" s="1"/>
  <c r="E81" i="2" s="1"/>
  <c r="E28" i="2" l="1"/>
  <c r="E27" i="2"/>
  <c r="E29" i="2" l="1"/>
  <c r="E32" i="2" l="1"/>
  <c r="E73" i="2"/>
  <c r="E82" i="2" s="1"/>
  <c r="E33" i="2" l="1"/>
  <c r="E34" i="2"/>
  <c r="E74" i="2"/>
  <c r="E37" i="2" l="1"/>
  <c r="E38" i="2" s="1"/>
  <c r="E83" i="2"/>
  <c r="E86" i="2" s="1"/>
  <c r="E87" i="2" s="1"/>
  <c r="E77" i="2"/>
  <c r="E78" i="2" s="1"/>
  <c r="E39" i="2" l="1"/>
  <c r="E42" i="2" s="1"/>
  <c r="E44" i="2" l="1"/>
  <c r="E43" i="2" s="1"/>
  <c r="E46" i="2" s="1"/>
  <c r="E47" i="2" l="1"/>
  <c r="G75" i="2" s="1"/>
  <c r="G84" i="2" l="1"/>
  <c r="E51" i="2"/>
  <c r="E55" i="2"/>
  <c r="E54" i="2" s="1"/>
  <c r="E56" i="2" s="1"/>
  <c r="E50" i="2" l="1"/>
  <c r="E17" i="2" s="1"/>
  <c r="E18" i="2" s="1"/>
  <c r="G15" i="2" s="1"/>
  <c r="G72" i="2" s="1"/>
  <c r="G81" i="2" s="1"/>
  <c r="G27" i="2" l="1"/>
  <c r="G28" i="2"/>
  <c r="G29" i="2" l="1"/>
  <c r="G73" i="2" l="1"/>
  <c r="G82" i="2" s="1"/>
  <c r="G32" i="2"/>
  <c r="G74" i="2" l="1"/>
  <c r="G83" i="2" s="1"/>
  <c r="G86" i="2" s="1"/>
  <c r="G87" i="2" s="1"/>
  <c r="G34" i="2"/>
  <c r="G33" i="2"/>
  <c r="G77" i="2" l="1"/>
  <c r="G78" i="2" s="1"/>
  <c r="G37" i="2"/>
  <c r="G38" i="2" s="1"/>
  <c r="G39" i="2" l="1"/>
  <c r="G42" i="2" s="1"/>
  <c r="G44" i="2" s="1"/>
  <c r="G43" i="2" s="1"/>
  <c r="G46" i="2" s="1"/>
  <c r="G47" i="2" s="1"/>
  <c r="G51" i="2" s="1"/>
  <c r="G50" i="2" l="1"/>
  <c r="I75" i="2"/>
  <c r="I84" i="2" s="1"/>
  <c r="G55" i="2"/>
  <c r="G54" i="2" l="1"/>
  <c r="G56" i="2" s="1"/>
  <c r="G17" i="2"/>
  <c r="G18" i="2" s="1"/>
  <c r="I15" i="2" s="1"/>
  <c r="I72" i="2" l="1"/>
  <c r="I81" i="2" s="1"/>
  <c r="I28" i="2"/>
  <c r="I27" i="2"/>
  <c r="I29" i="2" l="1"/>
  <c r="I32" i="2" l="1"/>
  <c r="I73" i="2"/>
  <c r="I82" i="2" l="1"/>
  <c r="I74" i="2"/>
  <c r="I77" i="2" s="1"/>
  <c r="I33" i="2"/>
  <c r="I34" i="2"/>
  <c r="I37" i="2" l="1"/>
  <c r="I38" i="2" s="1"/>
  <c r="I78" i="2"/>
  <c r="I83" i="2"/>
  <c r="I86" i="2" s="1"/>
  <c r="I87" i="2" s="1"/>
  <c r="I39" i="2" l="1"/>
  <c r="I42" i="2" s="1"/>
  <c r="I44" i="2" l="1"/>
  <c r="I43" i="2" s="1"/>
  <c r="I46" i="2" s="1"/>
  <c r="I47" i="2" l="1"/>
  <c r="I51" i="2" s="1"/>
  <c r="I50" i="2" s="1"/>
  <c r="I17" i="2" s="1"/>
  <c r="I18" i="2" s="1"/>
  <c r="I55" i="2" l="1"/>
  <c r="I54" i="2" s="1"/>
  <c r="I56" i="2" s="1"/>
</calcChain>
</file>

<file path=xl/sharedStrings.xml><?xml version="1.0" encoding="utf-8"?>
<sst xmlns="http://schemas.openxmlformats.org/spreadsheetml/2006/main" count="209" uniqueCount="135">
  <si>
    <t>Year 1</t>
  </si>
  <si>
    <t>Year 2</t>
  </si>
  <si>
    <t>Year 3</t>
  </si>
  <si>
    <t>Income</t>
  </si>
  <si>
    <t>Beginning balance</t>
  </si>
  <si>
    <t>Net investment income/(loss)</t>
  </si>
  <si>
    <t>Hypothetical Waterfall</t>
  </si>
  <si>
    <t xml:space="preserve">Management Fee </t>
  </si>
  <si>
    <t>for the period:</t>
  </si>
  <si>
    <t>1/1/20XX through 3/31/20XX</t>
  </si>
  <si>
    <t>Fund:</t>
  </si>
  <si>
    <t>Future Fund Investment Company No.2 Pty Ltd.</t>
  </si>
  <si>
    <t>Management fee percentage</t>
  </si>
  <si>
    <t>Investment period fees calculated on:</t>
  </si>
  <si>
    <t>Management Fee Basis</t>
  </si>
  <si>
    <t xml:space="preserve"> </t>
  </si>
  <si>
    <t>Mangement fee percentage</t>
  </si>
  <si>
    <t>Annual Management Fee</t>
  </si>
  <si>
    <t>Quarterly Management Fee (divided by 4)</t>
  </si>
  <si>
    <t>Adjustments to the Management Fee</t>
  </si>
  <si>
    <t>Due Immediately</t>
  </si>
  <si>
    <t>12/31/XX LP NAV</t>
  </si>
  <si>
    <t>12/31/XX GP NAV</t>
  </si>
  <si>
    <t>Management fee January 1 through March 31, 20XX</t>
  </si>
  <si>
    <t>Annual return</t>
  </si>
  <si>
    <t>through</t>
  </si>
  <si>
    <t>For Mid-Quarter Capital Contributions</t>
  </si>
  <si>
    <t>LP Capital Contribution</t>
  </si>
  <si>
    <t>GP Capital Contribution</t>
  </si>
  <si>
    <t>Investment period fees calculated on (for mid quarter contributions):</t>
  </si>
  <si>
    <t>LP Capital Contributions</t>
  </si>
  <si>
    <t>1/22/15 LP drawdown</t>
  </si>
  <si>
    <t>Mangement fee percentage (for mid quarter capital contributions)</t>
  </si>
  <si>
    <t>Quarterly Management Fee</t>
  </si>
  <si>
    <t>Daily Management Fee (based on 90 days)</t>
  </si>
  <si>
    <t>Days from January 22 - March 31, 2015</t>
  </si>
  <si>
    <t>Management fee January 22 through March 31, 2015</t>
  </si>
  <si>
    <t>Year 4</t>
  </si>
  <si>
    <t>Future Fund Investment Company No. 2 Pty Ltd</t>
  </si>
  <si>
    <t>(a) For illustration it is assumed that capital contributions occur on the first day of the period.</t>
  </si>
  <si>
    <t>Capital activity (a)</t>
  </si>
  <si>
    <t>Management Fee (a)</t>
  </si>
  <si>
    <t>12/31/20XX LP NAV</t>
  </si>
  <si>
    <t>(a) The annual Management Fee is calculated quarterly in advance based on the prior quarter end  Net Asset Value.  The Management Fee for mid quarter contributions is based on one quarter of the management fee percentage and prorated from the date of the contribution to the end of that quarter. For simplicity, above it is based on the beginning of period balance.</t>
  </si>
  <si>
    <t>Management Fee Rate</t>
  </si>
  <si>
    <t>Preferred Return</t>
  </si>
  <si>
    <t>Incentive Allocation Percentage</t>
  </si>
  <si>
    <t>Capital Account</t>
  </si>
  <si>
    <t>Amount Remaining for 90/10 Split</t>
  </si>
  <si>
    <t>Increase/(Decrease) to Capital Account</t>
  </si>
  <si>
    <t>Management fee rate</t>
  </si>
  <si>
    <t>Preferred return</t>
  </si>
  <si>
    <t>L.P. income allocation</t>
  </si>
  <si>
    <t>G.P. catch up allocation</t>
  </si>
  <si>
    <t>G.P Incentive</t>
  </si>
  <si>
    <t>Assumptions</t>
  </si>
  <si>
    <t>(b) The annual Management Fee is calculated quarterly in advance based on the prior quarter end  Net Asset Value.  The Management Fee for mid quarter contributions is based on one quarter of the management fee percentage and prorated from the date of the contribution to the end of that quarter. For simplicity, above it is based on the beginning of period balance.</t>
  </si>
  <si>
    <t>(c) The Preferred Return Amount is 6% per annum on the Limited Partner’s Capital Account balance as of the beginning of the Incentive Allocation Period.  To the extent that any Incentive Allocation Period is less than a full year, the calculation is prorated based on the number of days elapsed in such Incentive Allocation Period.  The Preferred Return Amount is adjusted to reflect any contributions from, distributions to or withdrawals by the Limited Partner during the applicable Incentive Allocation Period.  For simplicity, above it is calculated on the beginning of period balance.</t>
  </si>
  <si>
    <t>GP Incentive %</t>
  </si>
  <si>
    <t>Income to LP's at 50%</t>
  </si>
  <si>
    <t>Preferred return to L.P.s (c)</t>
  </si>
  <si>
    <t>Management fee (b)</t>
  </si>
  <si>
    <t>Ending balance (net of incentive)</t>
  </si>
  <si>
    <t>Excess Income Over Preferred</t>
  </si>
  <si>
    <t>LP Preferred Return Amount</t>
  </si>
  <si>
    <t>Cumulative Performance Fee Entitlement</t>
  </si>
  <si>
    <t>Total Cumulative Performance Fee Entitlement</t>
  </si>
  <si>
    <t>Annual Returns</t>
  </si>
  <si>
    <t>LP</t>
  </si>
  <si>
    <t>GP</t>
  </si>
  <si>
    <t>Cummulative  Returns</t>
  </si>
  <si>
    <t>(a) 50% of such amount of the Excess Hurdle Return as at the Determination Date which does not exceed 20% of the Portfolio Appreciation as at the Determination Date; plus</t>
  </si>
  <si>
    <t>(b) 10% of such amount of the Excess Hurdle Return as at the Determination Date which exceeds 20% of the Portfolio Appreciation as at the Determination Date.</t>
  </si>
  <si>
    <t>Portfolio Value</t>
  </si>
  <si>
    <t>Beg. Balance</t>
  </si>
  <si>
    <t>Gains</t>
  </si>
  <si>
    <t>Cum. Pref</t>
  </si>
  <si>
    <t>Initial Amount @ Hurdle</t>
  </si>
  <si>
    <t>Excess Return</t>
  </si>
  <si>
    <t>Check</t>
  </si>
  <si>
    <t>Portfolio Appreciation</t>
  </si>
  <si>
    <t>Initial Amount</t>
  </si>
  <si>
    <t>Income Allocated to LP's</t>
  </si>
  <si>
    <t>Income Allocated to GP</t>
  </si>
  <si>
    <t xml:space="preserve">Income to LP's at 90% </t>
  </si>
  <si>
    <t>Income in excess of preferred return</t>
  </si>
  <si>
    <t>Loss recovery account</t>
  </si>
  <si>
    <t>Excess after loss recovery</t>
  </si>
  <si>
    <t>Income allocated at  50/50</t>
  </si>
  <si>
    <t>Income to L.P.s  plus loss recovery</t>
  </si>
  <si>
    <t>Incentive to G.P. at 50%</t>
  </si>
  <si>
    <t>Income allocated 90/10</t>
  </si>
  <si>
    <t>Income to L.P.s at 90%</t>
  </si>
  <si>
    <t>Incentive to G.P. at 10%</t>
  </si>
  <si>
    <t>Net income/(loss)</t>
  </si>
  <si>
    <t>Balance net of incentive</t>
  </si>
  <si>
    <t>Balance before incentive</t>
  </si>
  <si>
    <t>Cumulative income/(loss)</t>
  </si>
  <si>
    <t>G.P. incentive %</t>
  </si>
  <si>
    <t>Beginning of Period</t>
  </si>
  <si>
    <t>End of Period</t>
  </si>
  <si>
    <t xml:space="preserve">Cummulative Preferred </t>
  </si>
  <si>
    <t xml:space="preserve">YTD Preferred Return </t>
  </si>
  <si>
    <t xml:space="preserve">Capital activity </t>
  </si>
  <si>
    <t xml:space="preserve">Management fee </t>
  </si>
  <si>
    <t xml:space="preserve">Income to GP at 50% </t>
  </si>
  <si>
    <t>Preferred Return Paid</t>
  </si>
  <si>
    <t xml:space="preserve">(1.1) The Manager will be entitled to a performance fee in respect of each Determination Date which equals the greater of nil and the following amount: </t>
  </si>
  <si>
    <t>(a) the Cumulative Performance Fee Entitlement as at the Determination Date; less</t>
  </si>
  <si>
    <t>(b) the total amount of each performance fee under this clause 1.1 in respect of each prior Determination Date.</t>
  </si>
  <si>
    <t>(1.4) The Cumulative Performance Fee Entitlement as at a Determination Date is the following amount calculated in United States dollars:</t>
  </si>
  <si>
    <t>Income allocated at 90/10 (1.4b)</t>
  </si>
  <si>
    <t>Income allocated at 50/50 (1.4a)</t>
  </si>
  <si>
    <t xml:space="preserve">Income to GP at 10% </t>
  </si>
  <si>
    <t>Manager Performance Fee/(Clawback) (1.1) (1.3)</t>
  </si>
  <si>
    <t xml:space="preserve">(1.3) If the total amount of each performance fee under clause 1.1 in respect of each Determination Date exceeds the Cumulative Performance Fee Entitlement as at the date of termination of this agreement, </t>
  </si>
  <si>
    <t xml:space="preserve">        the Manager must within [30] days after the date of termination of this agreement refund the amount of that excess to the Client.</t>
  </si>
  <si>
    <t>Income after Management fee to be Allocated over Incentive Period</t>
  </si>
  <si>
    <t>Loss carryforward from prior Periods</t>
  </si>
  <si>
    <t>Net investment income/(loss) to be Allocated over Incentive Period</t>
  </si>
  <si>
    <t>Memo: Loss carry forward paid</t>
  </si>
  <si>
    <t>Preferred Return Amount</t>
  </si>
  <si>
    <t>Preferred return calculated</t>
  </si>
  <si>
    <t>Preferred return paid to L.P.s (c)</t>
  </si>
  <si>
    <t xml:space="preserve">Income in excess of preferred return to be Allocated </t>
  </si>
  <si>
    <t>Income allocated at 50/50</t>
  </si>
  <si>
    <t>Income to GP at 50%</t>
  </si>
  <si>
    <t>Income allocated at 90/10</t>
  </si>
  <si>
    <t>Income to LP's at 90%</t>
  </si>
  <si>
    <t>Income to GP at 10%</t>
  </si>
  <si>
    <t>LP Total</t>
  </si>
  <si>
    <t>Loss carryforward</t>
  </si>
  <si>
    <t>Total Income to LP's</t>
  </si>
  <si>
    <t>GP Total</t>
  </si>
  <si>
    <t>Total Income to GP</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</si>
</sst>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6" formatCode="&quot;$&quot;#,##0_);[Red]\(&quot;$&quot;#,##0\)"/>
    <numFmt numFmtId="41" formatCode="_(* #,##0_);_(* \(#,##0\);_(* &quot;-&quot;_);_(@_)"/>
    <numFmt numFmtId="44" formatCode="_(&quot;$&quot;* #,##0.00_);_(&quot;$&quot;* \(#,##0.00\);_(&quot;$&quot;* &quot;-&quot;??_);_(@_)"/>
    <numFmt numFmtId="43" formatCode="_(* #,##0.00_);_(* \(#,##0.00\);_(* &quot;-&quot;??_);_(@_)"/>
    <numFmt numFmtId="164" formatCode="_(* #,##0_);_(* \(#,##0\);_(* &quot;-&quot;??_);_(@_)"/>
    <numFmt numFmtId="165" formatCode="0.0000%"/>
    <numFmt numFmtId="166" formatCode="_(* #,##0.000_);_(* \(#,##0.000\);_(* &quot;-&quot;??_);_(@_)"/>
    <numFmt numFmtId="167" formatCode="0.0%_);\(0.0%\);\-\-\ \ \ _);@_)"/>
    <numFmt numFmtId="168" formatCode="[$$]#,##0_);\([$$]#,##0\);&quot;$&quot;\ \-\-_);@_)"/>
    <numFmt numFmtId="169" formatCode="#,##0_);\(#,##0\);\-\-_);@_)"/>
    <numFmt numFmtId="170" formatCode="_(* #,##0_);_(* \(#,##0\);_(* &quot;-&quot;?_);_(@_)"/>
    <numFmt numFmtId="171" formatCode="#,##0.0_);\(#,##0.0\);\-\-_);@_)"/>
    <numFmt numFmtId="172" formatCode="&quot;$&quot;#,##0"/>
    <numFmt numFmtId="173" formatCode="0.000%"/>
    <numFmt numFmtId="174" formatCode="0%_);\(0%\);\-\-\ \ \ _);@_)"/>
    <numFmt numFmtId="175" formatCode="[$$-540A]#,##0.00_);\([$$-540A]#,##0.00\)"/>
  </numFmts>
  <fonts count="27" x14ac:knownFonts="1">
    <font>
      <sz val="11"/>
      <color theme="1"/>
      <name val="Calibri"/>
      <family val="2"/>
      <scheme val="minor"/>
    </font>
    <font>
      <sz val="11"/>
      <color theme="1"/>
      <name val="Calibri"/>
      <family val="2"/>
      <scheme val="minor"/>
    </font>
    <font>
      <sz val="11"/>
      <color theme="1"/>
      <name val="Times New Roman"/>
      <family val="1"/>
    </font>
    <font>
      <sz val="11"/>
      <color theme="1"/>
      <name val="Times New Roman"/>
      <family val="2"/>
    </font>
    <font>
      <sz val="10"/>
      <color theme="1"/>
      <name val="Segoe UI"/>
      <family val="2"/>
    </font>
    <font>
      <b/>
      <sz val="10"/>
      <color theme="1"/>
      <name val="Segoe UI"/>
      <family val="2"/>
    </font>
    <font>
      <sz val="10"/>
      <color theme="0"/>
      <name val="Segoe UI"/>
      <family val="2"/>
    </font>
    <font>
      <sz val="8"/>
      <color theme="1"/>
      <name val="Arial"/>
      <family val="2"/>
    </font>
    <font>
      <sz val="10"/>
      <name val="Arial"/>
      <family val="2"/>
    </font>
    <font>
      <sz val="11"/>
      <color rgb="FF3F3F76"/>
      <name val="Times New Roman"/>
      <family val="2"/>
    </font>
    <font>
      <b/>
      <sz val="11"/>
      <color rgb="FF3F3F3F"/>
      <name val="Times New Roman"/>
      <family val="2"/>
    </font>
    <font>
      <b/>
      <sz val="12"/>
      <color theme="1"/>
      <name val="Times New Roman"/>
      <family val="1"/>
    </font>
    <font>
      <b/>
      <sz val="11"/>
      <color theme="1"/>
      <name val="Times New Roman"/>
      <family val="1"/>
    </font>
    <font>
      <b/>
      <u/>
      <sz val="11"/>
      <color theme="1"/>
      <name val="Times New Roman"/>
      <family val="1"/>
    </font>
    <font>
      <sz val="11"/>
      <color rgb="FF0000FF"/>
      <name val="Times New Roman"/>
      <family val="1"/>
    </font>
    <font>
      <sz val="11"/>
      <name val="Times New Roman"/>
      <family val="1"/>
    </font>
    <font>
      <b/>
      <sz val="11"/>
      <name val="Times New Roman"/>
      <family val="1"/>
    </font>
    <font>
      <sz val="11"/>
      <color rgb="FF3F3F76"/>
      <name val="Times New Roman"/>
      <family val="1"/>
    </font>
    <font>
      <b/>
      <sz val="11"/>
      <color rgb="FF3F3F3F"/>
      <name val="Times New Roman"/>
      <family val="1"/>
    </font>
    <font>
      <u/>
      <sz val="11"/>
      <color theme="1"/>
      <name val="Times New Roman"/>
      <family val="1"/>
    </font>
    <font>
      <sz val="11"/>
      <color indexed="12"/>
      <name val="Times New Roman"/>
      <family val="1"/>
    </font>
    <font>
      <sz val="11"/>
      <color indexed="8"/>
      <name val="Times New Roman"/>
      <family val="1"/>
    </font>
    <font>
      <sz val="11"/>
      <color rgb="FF0070C0"/>
      <name val="Times New Roman"/>
      <family val="1"/>
    </font>
    <font>
      <b/>
      <u val="singleAccounting"/>
      <sz val="11"/>
      <color theme="1"/>
      <name val="Times New Roman"/>
      <family val="1"/>
    </font>
    <font>
      <u val="singleAccounting"/>
      <sz val="11"/>
      <color theme="1"/>
      <name val="Times New Roman"/>
      <family val="1"/>
    </font>
    <font>
      <i/>
      <sz val="11"/>
      <color theme="1"/>
      <name val="Times New Roman"/>
      <family val="1"/>
    </font>
    <font>
      <i/>
      <sz val="11"/>
      <color theme="1"/>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indexed="64"/>
      </patternFill>
    </fill>
  </fills>
  <borders count="13">
    <border>
      <left/>
      <right/>
      <top/>
      <bottom/>
      <diagonal/>
    </border>
    <border>
      <left/>
      <right/>
      <top/>
      <bottom style="thin">
        <color indexed="64"/>
      </bottom>
      <diagonal/>
    </border>
    <border>
      <left/>
      <right/>
      <top/>
      <bottom style="double">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0">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xf numFmtId="43" fontId="8" fillId="0" borderId="0" applyFont="0" applyFill="0" applyBorder="0" applyAlignment="0" applyProtection="0"/>
    <xf numFmtId="44" fontId="8" fillId="0" borderId="0" applyFont="0" applyFill="0" applyBorder="0" applyAlignment="0" applyProtection="0"/>
    <xf numFmtId="0" fontId="8" fillId="0" borderId="0"/>
    <xf numFmtId="44" fontId="1" fillId="0" borderId="0" applyFont="0" applyFill="0" applyBorder="0" applyAlignment="0" applyProtection="0"/>
    <xf numFmtId="0" fontId="9" fillId="3" borderId="3" applyNumberFormat="0" applyAlignment="0" applyProtection="0"/>
    <xf numFmtId="0" fontId="10" fillId="4" borderId="4" applyNumberFormat="0" applyAlignment="0" applyProtection="0"/>
  </cellStyleXfs>
  <cellXfs count="135">
    <xf numFmtId="0" fontId="0" fillId="0" borderId="0" xfId="0"/>
    <xf numFmtId="164" fontId="2" fillId="0" borderId="0" xfId="1" applyNumberFormat="1" applyFont="1"/>
    <xf numFmtId="0" fontId="4" fillId="0" borderId="0" xfId="3" applyFont="1"/>
    <xf numFmtId="0" fontId="4" fillId="0" borderId="0" xfId="3" applyFont="1" applyAlignment="1">
      <alignment horizontal="center"/>
    </xf>
    <xf numFmtId="0" fontId="5" fillId="0" borderId="0" xfId="3" applyFont="1"/>
    <xf numFmtId="0" fontId="7" fillId="0" borderId="0" xfId="3" applyFont="1"/>
    <xf numFmtId="6" fontId="4" fillId="0" borderId="0" xfId="3" applyNumberFormat="1" applyFont="1"/>
    <xf numFmtId="38" fontId="2" fillId="0" borderId="1" xfId="1" applyNumberFormat="1" applyFont="1" applyBorder="1"/>
    <xf numFmtId="38" fontId="2" fillId="0" borderId="0" xfId="1" applyNumberFormat="1" applyFont="1"/>
    <xf numFmtId="0" fontId="7" fillId="0" borderId="0" xfId="0" applyFont="1"/>
    <xf numFmtId="0" fontId="6" fillId="0" borderId="0" xfId="3" applyFont="1" applyFill="1"/>
    <xf numFmtId="14" fontId="6" fillId="0" borderId="0" xfId="3" applyNumberFormat="1" applyFont="1" applyFill="1"/>
    <xf numFmtId="38" fontId="0" fillId="0" borderId="0" xfId="0" applyNumberFormat="1"/>
    <xf numFmtId="43" fontId="0" fillId="0" borderId="0" xfId="1" applyFont="1"/>
    <xf numFmtId="43" fontId="0" fillId="0" borderId="0" xfId="0" applyNumberFormat="1"/>
    <xf numFmtId="166" fontId="0" fillId="0" borderId="0" xfId="0" applyNumberFormat="1"/>
    <xf numFmtId="164" fontId="2" fillId="0" borderId="0" xfId="1" applyNumberFormat="1" applyFont="1" applyBorder="1"/>
    <xf numFmtId="0" fontId="2" fillId="0" borderId="0" xfId="3" applyFont="1"/>
    <xf numFmtId="0" fontId="2" fillId="0" borderId="0" xfId="3" applyFont="1" applyAlignment="1">
      <alignment horizontal="center"/>
    </xf>
    <xf numFmtId="6" fontId="14" fillId="0" borderId="0" xfId="3" applyNumberFormat="1" applyFont="1"/>
    <xf numFmtId="10" fontId="2" fillId="0" borderId="0" xfId="3" applyNumberFormat="1" applyFont="1" applyAlignment="1">
      <alignment horizontal="right"/>
    </xf>
    <xf numFmtId="6" fontId="14" fillId="0" borderId="0" xfId="3" applyNumberFormat="1" applyFont="1" applyAlignment="1">
      <alignment horizontal="right"/>
    </xf>
    <xf numFmtId="6" fontId="15" fillId="0" borderId="0" xfId="3" applyNumberFormat="1" applyFont="1" applyAlignment="1">
      <alignment horizontal="right"/>
    </xf>
    <xf numFmtId="0" fontId="2" fillId="0" borderId="0" xfId="3" applyFont="1" applyAlignment="1">
      <alignment horizontal="right"/>
    </xf>
    <xf numFmtId="0" fontId="2" fillId="2" borderId="0" xfId="3" applyFont="1" applyFill="1"/>
    <xf numFmtId="6" fontId="2" fillId="0" borderId="0" xfId="3" applyNumberFormat="1" applyFont="1"/>
    <xf numFmtId="6" fontId="14" fillId="0" borderId="0" xfId="3" applyNumberFormat="1" applyFont="1" applyAlignment="1">
      <alignment horizontal="left"/>
    </xf>
    <xf numFmtId="165" fontId="2" fillId="0" borderId="1" xfId="3" applyNumberFormat="1" applyFont="1" applyBorder="1"/>
    <xf numFmtId="6" fontId="2" fillId="0" borderId="1" xfId="3" applyNumberFormat="1" applyFont="1" applyBorder="1"/>
    <xf numFmtId="0" fontId="16" fillId="0" borderId="0" xfId="3" applyFont="1" applyAlignment="1">
      <alignment horizontal="left"/>
    </xf>
    <xf numFmtId="6" fontId="2" fillId="0" borderId="2" xfId="3" applyNumberFormat="1" applyFont="1" applyBorder="1"/>
    <xf numFmtId="0" fontId="16" fillId="0" borderId="0" xfId="3" applyFont="1"/>
    <xf numFmtId="0" fontId="16" fillId="0" borderId="0" xfId="3" applyFont="1" applyAlignment="1">
      <alignment horizontal="left" wrapText="1"/>
    </xf>
    <xf numFmtId="0" fontId="2" fillId="0" borderId="0" xfId="0" applyFont="1" applyAlignment="1">
      <alignment vertical="top" wrapText="1"/>
    </xf>
    <xf numFmtId="0" fontId="2" fillId="0" borderId="0" xfId="0" applyFont="1"/>
    <xf numFmtId="14" fontId="12" fillId="0" borderId="1" xfId="0" applyNumberFormat="1" applyFont="1" applyBorder="1"/>
    <xf numFmtId="0" fontId="2" fillId="0" borderId="0" xfId="0" applyFont="1" applyAlignment="1">
      <alignment horizontal="center"/>
    </xf>
    <xf numFmtId="165" fontId="2" fillId="0" borderId="0" xfId="0" applyNumberFormat="1" applyFont="1" applyAlignment="1">
      <alignment horizontal="right"/>
    </xf>
    <xf numFmtId="6" fontId="14" fillId="0" borderId="0" xfId="0" applyNumberFormat="1" applyFont="1"/>
    <xf numFmtId="0" fontId="2" fillId="2" borderId="0" xfId="0" applyFont="1" applyFill="1"/>
    <xf numFmtId="6" fontId="2" fillId="0" borderId="0" xfId="0" applyNumberFormat="1" applyFont="1"/>
    <xf numFmtId="165" fontId="2" fillId="0" borderId="1" xfId="0" applyNumberFormat="1" applyFont="1" applyBorder="1"/>
    <xf numFmtId="6" fontId="2" fillId="0" borderId="1" xfId="0" applyNumberFormat="1" applyFont="1" applyBorder="1"/>
    <xf numFmtId="164" fontId="2" fillId="0" borderId="0" xfId="0" applyNumberFormat="1" applyFont="1"/>
    <xf numFmtId="0" fontId="16" fillId="0" borderId="0" xfId="0" applyFont="1" applyAlignment="1">
      <alignment horizontal="left"/>
    </xf>
    <xf numFmtId="6" fontId="2" fillId="0" borderId="2" xfId="0" applyNumberFormat="1" applyFont="1" applyBorder="1"/>
    <xf numFmtId="0" fontId="16" fillId="0" borderId="0" xfId="0" applyFont="1"/>
    <xf numFmtId="14" fontId="17" fillId="5" borderId="3" xfId="8" applyNumberFormat="1" applyFont="1" applyFill="1"/>
    <xf numFmtId="164" fontId="18" fillId="4" borderId="4" xfId="9" applyNumberFormat="1" applyFont="1"/>
    <xf numFmtId="0" fontId="13" fillId="0" borderId="0" xfId="0" applyFont="1" applyAlignment="1"/>
    <xf numFmtId="164" fontId="11" fillId="0" borderId="0" xfId="1" applyNumberFormat="1" applyFont="1" applyAlignment="1"/>
    <xf numFmtId="164" fontId="12" fillId="0" borderId="0" xfId="1" applyNumberFormat="1" applyFont="1"/>
    <xf numFmtId="164" fontId="19" fillId="0" borderId="0" xfId="1" applyNumberFormat="1" applyFont="1"/>
    <xf numFmtId="167" fontId="20" fillId="0" borderId="0" xfId="1" applyNumberFormat="1" applyFont="1"/>
    <xf numFmtId="38" fontId="20" fillId="0" borderId="0" xfId="1" applyNumberFormat="1" applyFont="1"/>
    <xf numFmtId="164" fontId="2" fillId="0" borderId="0" xfId="1" applyNumberFormat="1" applyFont="1" applyAlignment="1"/>
    <xf numFmtId="164" fontId="2" fillId="0" borderId="1" xfId="1" applyNumberFormat="1" applyFont="1" applyBorder="1"/>
    <xf numFmtId="168" fontId="20" fillId="0" borderId="0" xfId="7" applyNumberFormat="1" applyFont="1"/>
    <xf numFmtId="168" fontId="2" fillId="0" borderId="0" xfId="1" applyNumberFormat="1" applyFont="1"/>
    <xf numFmtId="169" fontId="21" fillId="0" borderId="1" xfId="1" applyNumberFormat="1" applyFont="1" applyBorder="1"/>
    <xf numFmtId="170" fontId="2" fillId="0" borderId="0" xfId="1" applyNumberFormat="1" applyFont="1"/>
    <xf numFmtId="164" fontId="12" fillId="0" borderId="5" xfId="1" applyNumberFormat="1" applyFont="1" applyBorder="1" applyAlignment="1">
      <alignment horizontal="center"/>
    </xf>
    <xf numFmtId="164" fontId="12" fillId="0" borderId="0" xfId="1" applyNumberFormat="1" applyFont="1" applyAlignment="1">
      <alignment horizontal="center"/>
    </xf>
    <xf numFmtId="9" fontId="12" fillId="0" borderId="5" xfId="2" applyFont="1" applyBorder="1" applyAlignment="1">
      <alignment horizontal="center"/>
    </xf>
    <xf numFmtId="164" fontId="2" fillId="0" borderId="8" xfId="1" applyNumberFormat="1" applyFont="1" applyBorder="1"/>
    <xf numFmtId="164" fontId="23" fillId="0" borderId="6" xfId="1" applyNumberFormat="1" applyFont="1" applyBorder="1"/>
    <xf numFmtId="167" fontId="20" fillId="0" borderId="9" xfId="1" applyNumberFormat="1" applyFont="1" applyBorder="1"/>
    <xf numFmtId="164" fontId="2" fillId="0" borderId="10" xfId="1" applyNumberFormat="1" applyFont="1" applyBorder="1"/>
    <xf numFmtId="9" fontId="2" fillId="0" borderId="0" xfId="2" applyFont="1"/>
    <xf numFmtId="164" fontId="22" fillId="0" borderId="0" xfId="1" applyNumberFormat="1" applyFont="1"/>
    <xf numFmtId="9" fontId="2" fillId="0" borderId="0" xfId="2" applyFont="1"/>
    <xf numFmtId="164" fontId="22" fillId="0" borderId="0" xfId="1" applyNumberFormat="1" applyFont="1"/>
    <xf numFmtId="0" fontId="0" fillId="0" borderId="0" xfId="0"/>
    <xf numFmtId="164" fontId="2" fillId="0" borderId="0" xfId="1" applyNumberFormat="1" applyFont="1"/>
    <xf numFmtId="9" fontId="2" fillId="0" borderId="0" xfId="2" applyFont="1"/>
    <xf numFmtId="164" fontId="22" fillId="0" borderId="0" xfId="1" applyNumberFormat="1" applyFont="1"/>
    <xf numFmtId="167" fontId="20" fillId="0" borderId="11" xfId="1" applyNumberFormat="1" applyFont="1" applyBorder="1"/>
    <xf numFmtId="164" fontId="0" fillId="0" borderId="0" xfId="0" applyNumberFormat="1"/>
    <xf numFmtId="164" fontId="2" fillId="0" borderId="0" xfId="1" applyNumberFormat="1" applyFont="1" applyAlignment="1">
      <alignment wrapText="1"/>
    </xf>
    <xf numFmtId="0" fontId="2" fillId="0" borderId="0" xfId="0" applyFont="1" applyAlignment="1">
      <alignment vertical="top" wrapText="1"/>
    </xf>
    <xf numFmtId="164" fontId="2" fillId="0" borderId="0" xfId="1" applyNumberFormat="1" applyFont="1"/>
    <xf numFmtId="38" fontId="21" fillId="0" borderId="0" xfId="1" applyNumberFormat="1" applyFont="1"/>
    <xf numFmtId="169" fontId="21" fillId="0" borderId="0" xfId="1" applyNumberFormat="1" applyFont="1"/>
    <xf numFmtId="41" fontId="2" fillId="0" borderId="0" xfId="1" applyNumberFormat="1" applyFont="1"/>
    <xf numFmtId="38" fontId="2" fillId="0" borderId="0" xfId="0" applyNumberFormat="1" applyFont="1"/>
    <xf numFmtId="164" fontId="21" fillId="0" borderId="0" xfId="1" applyNumberFormat="1" applyFont="1"/>
    <xf numFmtId="167" fontId="21" fillId="0" borderId="0" xfId="1" applyNumberFormat="1" applyFont="1"/>
    <xf numFmtId="171" fontId="0" fillId="0" borderId="0" xfId="0" applyNumberFormat="1"/>
    <xf numFmtId="171" fontId="21" fillId="0" borderId="0" xfId="1" applyNumberFormat="1" applyFont="1" applyAlignment="1">
      <alignment horizontal="center"/>
    </xf>
    <xf numFmtId="164" fontId="2" fillId="0" borderId="0" xfId="1" applyNumberFormat="1" applyFont="1" applyAlignment="1">
      <alignment horizontal="center"/>
    </xf>
    <xf numFmtId="38" fontId="21" fillId="0" borderId="1" xfId="1" applyNumberFormat="1" applyFont="1" applyBorder="1" applyAlignment="1">
      <alignment horizontal="center"/>
    </xf>
    <xf numFmtId="171" fontId="2" fillId="0" borderId="0" xfId="0" applyNumberFormat="1" applyFont="1" applyAlignment="1">
      <alignment horizontal="center"/>
    </xf>
    <xf numFmtId="38" fontId="21" fillId="0" borderId="0" xfId="1" applyNumberFormat="1" applyFont="1" applyBorder="1" applyAlignment="1">
      <alignment horizontal="center"/>
    </xf>
    <xf numFmtId="164" fontId="2" fillId="0" borderId="0" xfId="1" applyNumberFormat="1" applyFont="1" applyBorder="1" applyAlignment="1">
      <alignment horizontal="center"/>
    </xf>
    <xf numFmtId="0" fontId="19" fillId="0" borderId="0" xfId="0" applyFont="1" applyAlignment="1">
      <alignment horizontal="left"/>
    </xf>
    <xf numFmtId="0" fontId="2" fillId="0" borderId="0" xfId="0" applyFont="1" applyAlignment="1">
      <alignment horizontal="left"/>
    </xf>
    <xf numFmtId="167" fontId="21" fillId="0" borderId="0" xfId="1" applyNumberFormat="1" applyFont="1" applyAlignment="1">
      <alignment horizontal="right"/>
    </xf>
    <xf numFmtId="164" fontId="2" fillId="0" borderId="0" xfId="1" applyNumberFormat="1" applyFont="1" applyAlignment="1">
      <alignment horizontal="right"/>
    </xf>
    <xf numFmtId="38" fontId="21" fillId="0" borderId="0" xfId="1" applyNumberFormat="1" applyFont="1" applyAlignment="1">
      <alignment horizontal="right"/>
    </xf>
    <xf numFmtId="0" fontId="0" fillId="0" borderId="0" xfId="0" applyAlignment="1">
      <alignment horizontal="right"/>
    </xf>
    <xf numFmtId="39" fontId="0" fillId="0" borderId="0" xfId="0" applyNumberFormat="1"/>
    <xf numFmtId="164" fontId="2" fillId="0" borderId="0" xfId="1" applyNumberFormat="1" applyFont="1" applyFill="1"/>
    <xf numFmtId="38" fontId="21" fillId="0" borderId="0" xfId="1" applyNumberFormat="1" applyFont="1" applyFill="1"/>
    <xf numFmtId="0" fontId="2" fillId="0" borderId="0" xfId="0" applyFont="1" applyFill="1"/>
    <xf numFmtId="164" fontId="2" fillId="0" borderId="0" xfId="0" applyNumberFormat="1" applyFont="1" applyFill="1"/>
    <xf numFmtId="164" fontId="24" fillId="0" borderId="0" xfId="1" applyNumberFormat="1" applyFont="1" applyFill="1"/>
    <xf numFmtId="164" fontId="19" fillId="0" borderId="0" xfId="1" applyNumberFormat="1" applyFont="1" applyFill="1"/>
    <xf numFmtId="164" fontId="2" fillId="0" borderId="5" xfId="1" applyNumberFormat="1" applyFont="1" applyBorder="1"/>
    <xf numFmtId="9" fontId="2" fillId="0" borderId="5" xfId="2" applyFont="1" applyBorder="1"/>
    <xf numFmtId="172" fontId="2" fillId="0" borderId="0" xfId="7" applyNumberFormat="1" applyFont="1"/>
    <xf numFmtId="1" fontId="2" fillId="0" borderId="0" xfId="1" applyNumberFormat="1" applyFont="1"/>
    <xf numFmtId="164" fontId="2" fillId="0" borderId="12" xfId="1" applyNumberFormat="1" applyFont="1" applyBorder="1"/>
    <xf numFmtId="38" fontId="2" fillId="0" borderId="12" xfId="1" applyNumberFormat="1" applyFont="1" applyBorder="1"/>
    <xf numFmtId="164" fontId="0" fillId="0" borderId="0" xfId="1" applyNumberFormat="1" applyFont="1"/>
    <xf numFmtId="10" fontId="0" fillId="0" borderId="0" xfId="2" applyNumberFormat="1" applyFont="1"/>
    <xf numFmtId="173" fontId="0" fillId="0" borderId="0" xfId="2" applyNumberFormat="1" applyFont="1"/>
    <xf numFmtId="164" fontId="23" fillId="0" borderId="7" xfId="1" applyNumberFormat="1" applyFont="1" applyBorder="1"/>
    <xf numFmtId="0" fontId="0" fillId="0" borderId="0" xfId="0" applyAlignment="1">
      <alignment wrapText="1"/>
    </xf>
    <xf numFmtId="164" fontId="2" fillId="0" borderId="0" xfId="1" applyNumberFormat="1" applyFont="1" applyAlignment="1">
      <alignment horizontal="left" indent="3"/>
    </xf>
    <xf numFmtId="0" fontId="2" fillId="0" borderId="0" xfId="1" applyNumberFormat="1" applyFont="1" applyAlignment="1">
      <alignment vertical="top" wrapText="1"/>
    </xf>
    <xf numFmtId="0" fontId="0" fillId="0" borderId="0" xfId="0" applyAlignment="1">
      <alignment vertical="top" wrapText="1"/>
    </xf>
    <xf numFmtId="0" fontId="0" fillId="0" borderId="0" xfId="0" applyAlignment="1"/>
    <xf numFmtId="0" fontId="13" fillId="0" borderId="0" xfId="3" applyFont="1" applyAlignment="1">
      <alignment horizontal="center"/>
    </xf>
    <xf numFmtId="14" fontId="12" fillId="0" borderId="0" xfId="3" applyNumberFormat="1" applyFont="1" applyBorder="1" applyAlignment="1">
      <alignment horizontal="center"/>
    </xf>
    <xf numFmtId="164" fontId="2" fillId="0" borderId="7" xfId="1" applyNumberFormat="1" applyFont="1" applyBorder="1"/>
    <xf numFmtId="164" fontId="20" fillId="0" borderId="1" xfId="1" applyNumberFormat="1" applyFont="1" applyBorder="1"/>
    <xf numFmtId="164" fontId="25" fillId="0" borderId="0" xfId="1" applyNumberFormat="1" applyFont="1"/>
    <xf numFmtId="0" fontId="26" fillId="0" borderId="0" xfId="0" applyFont="1"/>
    <xf numFmtId="43" fontId="2" fillId="0" borderId="0" xfId="1" applyNumberFormat="1" applyFont="1"/>
    <xf numFmtId="167" fontId="0" fillId="0" borderId="0" xfId="0" applyNumberFormat="1"/>
    <xf numFmtId="164" fontId="2" fillId="0" borderId="0" xfId="1" applyNumberFormat="1" applyFont="1" applyAlignment="1">
      <alignment horizontal="left"/>
    </xf>
    <xf numFmtId="164" fontId="2" fillId="0" borderId="0" xfId="1" applyNumberFormat="1" applyFont="1" applyAlignment="1">
      <alignment horizontal="left" indent="2"/>
    </xf>
    <xf numFmtId="174" fontId="2" fillId="0" borderId="0" xfId="1" applyNumberFormat="1" applyFont="1"/>
    <xf numFmtId="167" fontId="2" fillId="0" borderId="0" xfId="1" applyNumberFormat="1" applyFont="1"/>
    <xf numFmtId="175" fontId="0" fillId="0" borderId="0" xfId="0" applyNumberFormat="1"/>
  </cellXfs>
  <cellStyles count="10">
    <cellStyle name="Comma" xfId="1" builtinId="3"/>
    <cellStyle name="Comma 2" xfId="4"/>
    <cellStyle name="Currency" xfId="7" builtinId="4"/>
    <cellStyle name="Currency 2 10 10" xfId="5"/>
    <cellStyle name="Input 11" xfId="8"/>
    <cellStyle name="Normal" xfId="0" builtinId="0"/>
    <cellStyle name="Normal 2" xfId="3"/>
    <cellStyle name="Normal 4 10 2" xfId="6"/>
    <cellStyle name="Output 11" xfId="9"/>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OPPORTN/OCM%20-%20EMOF/2.UTIMCO/Month%20Close/Monclose%20Files/EMOF-TX%20MONCLOSE%2012.31.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TB NAV CHECK"/>
      <sheetName val="Parse"/>
      <sheetName val="VariableList"/>
      <sheetName val="Operating Highlights"/>
      <sheetName val="Statement of Operations"/>
      <sheetName val="SCPC"/>
      <sheetName val="Unfunded Commitments"/>
      <sheetName val="Partner Commitments"/>
      <sheetName val="Incentive Allocation"/>
      <sheetName val="Gross IRR"/>
      <sheetName val="Bid Deposit"/>
      <sheetName val="Investor IRR"/>
      <sheetName val="rec"/>
      <sheetName val="Dist"/>
      <sheetName val="GP Income"/>
      <sheetName val="Other Assets"/>
      <sheetName val="NAV Unit Check"/>
      <sheetName val="Other Payables"/>
      <sheetName val="gs nav rpt"/>
    </sheetNames>
    <sheetDataSet>
      <sheetData sheetId="0"/>
      <sheetData sheetId="1">
        <row r="1">
          <cell r="A1" t="str">
            <v>Oaktree TX Emerging Market Opportunities Fund, L.P.</v>
          </cell>
        </row>
      </sheetData>
      <sheetData sheetId="2"/>
      <sheetData sheetId="3"/>
      <sheetData sheetId="4"/>
      <sheetData sheetId="5">
        <row r="31">
          <cell r="R31">
            <v>-45744</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7"/>
  <sheetViews>
    <sheetView tabSelected="1" view="pageBreakPreview" zoomScale="85" zoomScaleNormal="85" zoomScaleSheetLayoutView="85" workbookViewId="0">
      <selection activeCell="A38" sqref="A38"/>
    </sheetView>
  </sheetViews>
  <sheetFormatPr defaultRowHeight="15" x14ac:dyDescent="0.25"/>
  <cols>
    <col min="1" max="1" width="52.140625" customWidth="1"/>
    <col min="2" max="2" width="22.5703125" style="72" customWidth="1"/>
    <col min="3" max="3" width="16.28515625" bestFit="1" customWidth="1"/>
    <col min="4" max="4" width="2.28515625" customWidth="1"/>
    <col min="5" max="5" width="14.28515625" bestFit="1" customWidth="1"/>
    <col min="6" max="6" width="2.28515625" customWidth="1"/>
    <col min="7" max="7" width="14.28515625" bestFit="1" customWidth="1"/>
    <col min="8" max="8" width="2.28515625" customWidth="1"/>
    <col min="9" max="9" width="14.5703125" bestFit="1" customWidth="1"/>
    <col min="10" max="10" width="8.140625" bestFit="1" customWidth="1"/>
    <col min="11" max="11" width="20.42578125" customWidth="1"/>
    <col min="12" max="13" width="10.5703125" bestFit="1" customWidth="1"/>
    <col min="15" max="16" width="11.42578125" bestFit="1" customWidth="1"/>
  </cols>
  <sheetData>
    <row r="1" spans="1:11" ht="15.75" x14ac:dyDescent="0.25">
      <c r="A1" s="50" t="s">
        <v>38</v>
      </c>
      <c r="B1" s="50"/>
      <c r="C1" s="1"/>
      <c r="D1" s="1"/>
      <c r="E1" s="1"/>
      <c r="F1" s="1"/>
      <c r="G1" s="1"/>
      <c r="H1" s="1"/>
      <c r="I1" s="1"/>
      <c r="J1" s="1"/>
      <c r="K1" s="1"/>
    </row>
    <row r="2" spans="1:11" x14ac:dyDescent="0.25">
      <c r="A2" s="51" t="s">
        <v>6</v>
      </c>
      <c r="B2" s="51"/>
      <c r="C2" s="1"/>
      <c r="D2" s="1"/>
      <c r="E2" s="1"/>
      <c r="F2" s="1"/>
      <c r="G2" s="1"/>
      <c r="H2" s="1"/>
      <c r="I2" s="1"/>
      <c r="J2" s="1"/>
      <c r="K2" s="1"/>
    </row>
    <row r="3" spans="1:11" x14ac:dyDescent="0.25">
      <c r="A3" s="1"/>
      <c r="B3" s="80"/>
      <c r="C3" s="1"/>
      <c r="D3" s="1"/>
      <c r="E3" s="1"/>
      <c r="F3" s="1"/>
      <c r="G3" s="1"/>
      <c r="H3" s="1"/>
      <c r="I3" s="1"/>
      <c r="J3" s="1"/>
      <c r="K3" s="1"/>
    </row>
    <row r="4" spans="1:11" s="72" customFormat="1" ht="16.5" x14ac:dyDescent="0.35">
      <c r="A4" s="65" t="s">
        <v>55</v>
      </c>
      <c r="B4" s="116"/>
      <c r="D4" s="73"/>
      <c r="E4" s="73"/>
      <c r="F4" s="73"/>
      <c r="G4" s="73"/>
      <c r="H4" s="73"/>
      <c r="I4" s="73"/>
      <c r="J4" s="73"/>
      <c r="K4" s="73"/>
    </row>
    <row r="5" spans="1:11" x14ac:dyDescent="0.25">
      <c r="A5" s="64" t="s">
        <v>44</v>
      </c>
      <c r="B5" s="66">
        <v>0.01</v>
      </c>
      <c r="D5" s="1"/>
      <c r="E5" s="1"/>
      <c r="F5" s="1"/>
      <c r="G5" s="1"/>
      <c r="H5" s="1"/>
      <c r="I5" s="1"/>
      <c r="J5" s="1"/>
      <c r="K5" s="1"/>
    </row>
    <row r="6" spans="1:11" x14ac:dyDescent="0.25">
      <c r="A6" s="64" t="s">
        <v>45</v>
      </c>
      <c r="B6" s="66">
        <v>0.06</v>
      </c>
      <c r="D6" s="1"/>
      <c r="E6" s="1"/>
      <c r="F6" s="1"/>
      <c r="G6" s="1"/>
      <c r="H6" s="1"/>
      <c r="I6" s="1"/>
      <c r="J6" s="1"/>
      <c r="K6" s="1"/>
    </row>
    <row r="7" spans="1:11" x14ac:dyDescent="0.25">
      <c r="A7" s="67" t="s">
        <v>46</v>
      </c>
      <c r="B7" s="76">
        <v>0.1</v>
      </c>
      <c r="D7" s="1"/>
      <c r="E7" s="1"/>
      <c r="F7" s="1"/>
      <c r="G7" s="1"/>
      <c r="H7" s="1"/>
      <c r="I7" s="1"/>
      <c r="J7" s="1"/>
      <c r="K7" s="1"/>
    </row>
    <row r="8" spans="1:11" x14ac:dyDescent="0.25">
      <c r="A8" s="1"/>
      <c r="B8" s="80"/>
      <c r="C8" s="1"/>
      <c r="D8" s="1"/>
      <c r="E8" s="1"/>
      <c r="F8" s="1"/>
      <c r="G8" s="1"/>
      <c r="H8" s="1"/>
      <c r="I8" s="1"/>
      <c r="J8" s="1"/>
      <c r="K8" s="1"/>
    </row>
    <row r="9" spans="1:11" s="72" customFormat="1" x14ac:dyDescent="0.25">
      <c r="A9" s="73"/>
      <c r="B9" s="80"/>
      <c r="C9" s="73"/>
      <c r="D9" s="73"/>
      <c r="E9" s="73"/>
      <c r="F9" s="73"/>
      <c r="G9" s="73"/>
      <c r="H9" s="73"/>
      <c r="I9" s="73"/>
      <c r="J9" s="73"/>
      <c r="K9" s="73"/>
    </row>
    <row r="10" spans="1:11" x14ac:dyDescent="0.25">
      <c r="A10" s="1"/>
      <c r="B10" s="80"/>
      <c r="C10" s="61" t="s">
        <v>0</v>
      </c>
      <c r="D10" s="62"/>
      <c r="E10" s="61" t="s">
        <v>1</v>
      </c>
      <c r="F10" s="62"/>
      <c r="G10" s="61" t="s">
        <v>2</v>
      </c>
      <c r="H10" s="62"/>
      <c r="I10" s="63" t="s">
        <v>37</v>
      </c>
      <c r="J10" s="1"/>
      <c r="K10" s="1"/>
    </row>
    <row r="11" spans="1:11" x14ac:dyDescent="0.25">
      <c r="A11" s="1"/>
      <c r="B11" s="80"/>
      <c r="C11" s="1"/>
      <c r="D11" s="1"/>
      <c r="E11" s="1"/>
      <c r="F11" s="1"/>
      <c r="G11" s="1"/>
      <c r="H11" s="1"/>
      <c r="I11" s="1"/>
      <c r="J11" s="1"/>
      <c r="K11" s="1"/>
    </row>
    <row r="12" spans="1:11" x14ac:dyDescent="0.25">
      <c r="A12" s="16" t="s">
        <v>24</v>
      </c>
      <c r="B12" s="16"/>
      <c r="C12" s="53">
        <v>-0.02</v>
      </c>
      <c r="D12" s="1"/>
      <c r="E12" s="53">
        <v>0.15</v>
      </c>
      <c r="F12" s="1"/>
      <c r="G12" s="53">
        <v>-0.03</v>
      </c>
      <c r="H12" s="1"/>
      <c r="I12" s="53">
        <v>0.15</v>
      </c>
      <c r="J12" s="1"/>
      <c r="K12" s="1"/>
    </row>
    <row r="13" spans="1:11" x14ac:dyDescent="0.25">
      <c r="A13" s="1"/>
      <c r="B13" s="80"/>
      <c r="C13" s="1"/>
      <c r="D13" s="1"/>
      <c r="E13" s="1"/>
      <c r="F13" s="1"/>
      <c r="G13" s="1"/>
      <c r="H13" s="1"/>
      <c r="I13" s="1"/>
      <c r="J13" s="1"/>
      <c r="K13" s="1"/>
    </row>
    <row r="14" spans="1:11" x14ac:dyDescent="0.25">
      <c r="A14" s="52" t="s">
        <v>47</v>
      </c>
      <c r="B14" s="52"/>
      <c r="C14" s="1"/>
      <c r="D14" s="1"/>
      <c r="E14" s="1"/>
      <c r="F14" s="1"/>
      <c r="G14" s="1"/>
      <c r="H14" s="1"/>
      <c r="I14" s="1"/>
      <c r="J14" s="1"/>
      <c r="K14" s="1"/>
    </row>
    <row r="15" spans="1:11" x14ac:dyDescent="0.25">
      <c r="A15" s="1" t="s">
        <v>4</v>
      </c>
      <c r="B15" s="80"/>
      <c r="C15" s="57">
        <v>0</v>
      </c>
      <c r="D15" s="58"/>
      <c r="E15" s="58">
        <f>+C18</f>
        <v>97000000</v>
      </c>
      <c r="F15" s="58"/>
      <c r="G15" s="58">
        <f>+E18</f>
        <v>110580000</v>
      </c>
      <c r="H15" s="58"/>
      <c r="I15" s="58">
        <f>+G18</f>
        <v>106156800</v>
      </c>
      <c r="J15" s="1"/>
      <c r="K15" s="1"/>
    </row>
    <row r="16" spans="1:11" x14ac:dyDescent="0.25">
      <c r="A16" s="1" t="s">
        <v>103</v>
      </c>
      <c r="B16" s="80"/>
      <c r="C16" s="54">
        <v>100000000</v>
      </c>
      <c r="D16" s="1"/>
      <c r="E16" s="54">
        <v>0</v>
      </c>
      <c r="F16" s="1"/>
      <c r="G16" s="54">
        <v>0</v>
      </c>
      <c r="H16" s="1"/>
      <c r="I16" s="54">
        <v>0</v>
      </c>
      <c r="J16" s="1"/>
      <c r="K16" s="1"/>
    </row>
    <row r="17" spans="1:13" x14ac:dyDescent="0.25">
      <c r="A17" s="1" t="s">
        <v>49</v>
      </c>
      <c r="B17" s="80"/>
      <c r="C17" s="59">
        <f>+C50</f>
        <v>-3000000</v>
      </c>
      <c r="D17" s="60"/>
      <c r="E17" s="59">
        <f>+E50</f>
        <v>13580000</v>
      </c>
      <c r="F17" s="60"/>
      <c r="G17" s="59">
        <f>+G50</f>
        <v>-4423200</v>
      </c>
      <c r="H17" s="60"/>
      <c r="I17" s="59">
        <f>+I50</f>
        <v>14861952</v>
      </c>
      <c r="J17" s="1"/>
      <c r="K17" s="1"/>
    </row>
    <row r="18" spans="1:13" x14ac:dyDescent="0.25">
      <c r="A18" s="1" t="s">
        <v>62</v>
      </c>
      <c r="B18" s="80"/>
      <c r="C18" s="1">
        <f>+SUM(C15:C17)</f>
        <v>97000000</v>
      </c>
      <c r="D18" s="1"/>
      <c r="E18" s="1">
        <f>+SUM(E15:E17)</f>
        <v>110580000</v>
      </c>
      <c r="F18" s="1"/>
      <c r="G18" s="1">
        <f>+SUM(G15:G17)</f>
        <v>106156800</v>
      </c>
      <c r="H18" s="1"/>
      <c r="I18" s="1">
        <f>+SUM(I15:I17)</f>
        <v>121018752</v>
      </c>
      <c r="J18" s="1"/>
      <c r="K18" s="1"/>
      <c r="M18" s="77"/>
    </row>
    <row r="19" spans="1:13" x14ac:dyDescent="0.25">
      <c r="A19" s="1"/>
      <c r="B19" s="80"/>
      <c r="C19" s="54"/>
      <c r="D19" s="1"/>
      <c r="E19" s="54"/>
      <c r="F19" s="1"/>
      <c r="G19" s="54"/>
      <c r="H19" s="1"/>
      <c r="I19" s="54"/>
      <c r="J19" s="1"/>
      <c r="K19" s="1"/>
      <c r="M19" s="77"/>
    </row>
    <row r="20" spans="1:13" s="72" customFormat="1" x14ac:dyDescent="0.25">
      <c r="A20" s="52" t="s">
        <v>64</v>
      </c>
      <c r="B20" s="52"/>
      <c r="C20" s="54"/>
      <c r="D20" s="80"/>
      <c r="E20" s="54"/>
      <c r="F20" s="80"/>
      <c r="G20" s="54"/>
      <c r="H20" s="80"/>
      <c r="I20" s="54"/>
      <c r="J20" s="80"/>
      <c r="K20" s="80"/>
      <c r="M20" s="77"/>
    </row>
    <row r="21" spans="1:13" s="72" customFormat="1" x14ac:dyDescent="0.25">
      <c r="A21" s="80" t="s">
        <v>99</v>
      </c>
      <c r="B21" s="80"/>
      <c r="C21" s="82">
        <f>+SUM(C15:C16)</f>
        <v>100000000</v>
      </c>
      <c r="D21" s="60"/>
      <c r="E21" s="82">
        <f>+C23</f>
        <v>106000000</v>
      </c>
      <c r="F21" s="60"/>
      <c r="G21" s="82">
        <f>+E23</f>
        <v>112360000</v>
      </c>
      <c r="H21" s="60"/>
      <c r="I21" s="82">
        <f>+G23</f>
        <v>119101600</v>
      </c>
      <c r="J21" s="80"/>
      <c r="K21" s="80"/>
      <c r="M21" s="77"/>
    </row>
    <row r="22" spans="1:13" s="72" customFormat="1" x14ac:dyDescent="0.25">
      <c r="A22" s="80" t="s">
        <v>102</v>
      </c>
      <c r="B22" s="80"/>
      <c r="C22" s="59">
        <f>+C21*$B$6</f>
        <v>6000000</v>
      </c>
      <c r="D22" s="83"/>
      <c r="E22" s="59">
        <f>+E21*$B$6</f>
        <v>6360000</v>
      </c>
      <c r="F22" s="83"/>
      <c r="G22" s="59">
        <f>+G21*$B$6</f>
        <v>6741600</v>
      </c>
      <c r="H22" s="83"/>
      <c r="I22" s="59">
        <f>+I21*$B$6</f>
        <v>7146096</v>
      </c>
      <c r="J22" s="70">
        <v>0.06</v>
      </c>
      <c r="K22" s="71" t="s">
        <v>51</v>
      </c>
      <c r="M22" s="77"/>
    </row>
    <row r="23" spans="1:13" s="72" customFormat="1" x14ac:dyDescent="0.25">
      <c r="A23" s="80" t="s">
        <v>100</v>
      </c>
      <c r="B23" s="80"/>
      <c r="C23" s="82">
        <f>+SUM(C21:C22)</f>
        <v>106000000</v>
      </c>
      <c r="D23" s="60"/>
      <c r="E23" s="82">
        <f>+SUM(E21:E22)</f>
        <v>112360000</v>
      </c>
      <c r="F23" s="60"/>
      <c r="G23" s="82">
        <f>+SUM(G21:G22)</f>
        <v>119101600</v>
      </c>
      <c r="H23" s="60"/>
      <c r="I23" s="82">
        <f>+SUM(I21:I22)</f>
        <v>126247696</v>
      </c>
      <c r="J23" s="80"/>
      <c r="K23" s="80"/>
      <c r="M23" s="77"/>
    </row>
    <row r="24" spans="1:13" s="72" customFormat="1" x14ac:dyDescent="0.25">
      <c r="A24" s="80" t="s">
        <v>101</v>
      </c>
      <c r="B24" s="80"/>
      <c r="C24" s="82">
        <f>+C22</f>
        <v>6000000</v>
      </c>
      <c r="D24" s="60"/>
      <c r="E24" s="82">
        <f>+C24+E22</f>
        <v>12360000</v>
      </c>
      <c r="F24" s="60"/>
      <c r="G24" s="82">
        <f>+E24+G22</f>
        <v>19101600</v>
      </c>
      <c r="H24" s="60"/>
      <c r="I24" s="82">
        <f>+G24+I22</f>
        <v>26247696</v>
      </c>
      <c r="J24" s="80"/>
      <c r="K24" s="80"/>
      <c r="M24" s="77"/>
    </row>
    <row r="25" spans="1:13" s="72" customFormat="1" x14ac:dyDescent="0.25">
      <c r="A25" s="80"/>
      <c r="B25" s="80"/>
      <c r="C25" s="54"/>
      <c r="D25" s="80"/>
      <c r="E25" s="54"/>
      <c r="F25" s="80"/>
      <c r="G25" s="54"/>
      <c r="H25" s="80"/>
      <c r="I25" s="54"/>
      <c r="J25" s="80"/>
      <c r="K25" s="80"/>
      <c r="M25" s="77"/>
    </row>
    <row r="26" spans="1:13" x14ac:dyDescent="0.25">
      <c r="A26" s="52" t="s">
        <v>5</v>
      </c>
      <c r="B26" s="52"/>
      <c r="C26" s="54"/>
      <c r="D26" s="1"/>
      <c r="E26" s="54"/>
      <c r="F26" s="1"/>
      <c r="G26" s="54"/>
      <c r="H26" s="1"/>
      <c r="I26" s="54"/>
      <c r="J26" s="1"/>
      <c r="K26" s="1"/>
    </row>
    <row r="27" spans="1:13" x14ac:dyDescent="0.25">
      <c r="A27" s="1" t="s">
        <v>3</v>
      </c>
      <c r="B27" s="80"/>
      <c r="C27" s="8">
        <f>SUM(C15:C16)*C12</f>
        <v>-2000000</v>
      </c>
      <c r="D27" s="1"/>
      <c r="E27" s="8">
        <f>SUM(E15:E16)*E12</f>
        <v>14550000</v>
      </c>
      <c r="F27" s="1"/>
      <c r="G27" s="8">
        <f>SUM(G15:G16)*G12</f>
        <v>-3317400</v>
      </c>
      <c r="H27" s="1"/>
      <c r="I27" s="8">
        <f>SUM(I15:I16)*I12</f>
        <v>15923520</v>
      </c>
      <c r="J27" s="1"/>
      <c r="K27" s="1"/>
    </row>
    <row r="28" spans="1:13" x14ac:dyDescent="0.25">
      <c r="A28" s="80" t="s">
        <v>104</v>
      </c>
      <c r="B28" s="80"/>
      <c r="C28" s="7">
        <f>SUM(C15:C16)*-$B$5</f>
        <v>-1000000</v>
      </c>
      <c r="D28" s="1"/>
      <c r="E28" s="7">
        <f>SUM(E15:E16)*-$B$5</f>
        <v>-970000</v>
      </c>
      <c r="F28" s="1"/>
      <c r="G28" s="7">
        <f>SUM(G15:G16)*-$B$5</f>
        <v>-1105800</v>
      </c>
      <c r="H28" s="1"/>
      <c r="I28" s="7">
        <f>SUM(I15:I16)*-$B$5</f>
        <v>-1061568</v>
      </c>
      <c r="J28" s="68">
        <v>0.01</v>
      </c>
      <c r="K28" s="69" t="s">
        <v>50</v>
      </c>
    </row>
    <row r="29" spans="1:13" s="72" customFormat="1" x14ac:dyDescent="0.25">
      <c r="A29" s="80" t="s">
        <v>3</v>
      </c>
      <c r="B29" s="80"/>
      <c r="C29" s="81">
        <f>+C27+C28</f>
        <v>-3000000</v>
      </c>
      <c r="D29" s="80"/>
      <c r="E29" s="81">
        <f>+E27+E28</f>
        <v>13580000</v>
      </c>
      <c r="F29" s="80"/>
      <c r="G29" s="81">
        <f>+G27+G28</f>
        <v>-4423200</v>
      </c>
      <c r="H29" s="80"/>
      <c r="I29" s="81">
        <f>+I27+I28</f>
        <v>14861952</v>
      </c>
      <c r="J29" s="80"/>
      <c r="K29" s="80"/>
      <c r="M29" s="77"/>
    </row>
    <row r="31" spans="1:13" s="34" customFormat="1" x14ac:dyDescent="0.25">
      <c r="A31" s="52" t="s">
        <v>65</v>
      </c>
      <c r="B31" s="52"/>
    </row>
    <row r="32" spans="1:13" s="34" customFormat="1" x14ac:dyDescent="0.25">
      <c r="A32" s="80" t="s">
        <v>3</v>
      </c>
      <c r="B32" s="80"/>
      <c r="C32" s="84">
        <f>+C29</f>
        <v>-3000000</v>
      </c>
      <c r="E32" s="84">
        <f>+C32+E29</f>
        <v>10580000</v>
      </c>
      <c r="G32" s="84">
        <f>+E32+G29</f>
        <v>6156800</v>
      </c>
      <c r="I32" s="84">
        <f>+G32+I29</f>
        <v>21018752</v>
      </c>
    </row>
    <row r="33" spans="1:13" s="34" customFormat="1" x14ac:dyDescent="0.25">
      <c r="A33" s="80" t="s">
        <v>63</v>
      </c>
      <c r="B33" s="80"/>
      <c r="C33" s="81">
        <f>++MAX(0,C32-C24)</f>
        <v>0</v>
      </c>
      <c r="D33" s="80"/>
      <c r="E33" s="81">
        <f>++MAX(0,E32-E24)</f>
        <v>0</v>
      </c>
      <c r="F33" s="80"/>
      <c r="G33" s="81">
        <f>++MAX(0,G32-G24)</f>
        <v>0</v>
      </c>
      <c r="H33" s="80"/>
      <c r="I33" s="81">
        <f>++MAX(0,I32-I24)</f>
        <v>0</v>
      </c>
      <c r="J33" s="80"/>
      <c r="K33" s="80"/>
      <c r="M33" s="43"/>
    </row>
    <row r="34" spans="1:13" s="34" customFormat="1" x14ac:dyDescent="0.25">
      <c r="A34" s="80" t="s">
        <v>106</v>
      </c>
      <c r="B34" s="80"/>
      <c r="C34" s="81">
        <f>+MAX(0,MIN(C32,C24))</f>
        <v>0</v>
      </c>
      <c r="D34" s="80"/>
      <c r="E34" s="81">
        <f>+MAX(0,MIN(E32,E24))</f>
        <v>10580000</v>
      </c>
      <c r="F34" s="80"/>
      <c r="G34" s="81">
        <f>+MAX(0,MIN(G32,G24))</f>
        <v>6156800</v>
      </c>
      <c r="H34" s="80"/>
      <c r="I34" s="81">
        <f>+MAX(0,MIN(I32,I24))</f>
        <v>21018752</v>
      </c>
      <c r="J34" s="80"/>
      <c r="K34" s="80"/>
      <c r="M34" s="43"/>
    </row>
    <row r="35" spans="1:13" s="34" customFormat="1" x14ac:dyDescent="0.25">
      <c r="A35" s="80"/>
      <c r="B35" s="80"/>
      <c r="C35" s="81"/>
      <c r="D35" s="80"/>
      <c r="E35" s="81"/>
      <c r="F35" s="80"/>
      <c r="G35" s="81"/>
      <c r="H35" s="80"/>
      <c r="I35" s="81"/>
      <c r="J35" s="80"/>
      <c r="K35" s="80"/>
      <c r="M35" s="43"/>
    </row>
    <row r="36" spans="1:13" s="103" customFormat="1" x14ac:dyDescent="0.25">
      <c r="A36" s="106" t="s">
        <v>112</v>
      </c>
      <c r="B36" s="101"/>
      <c r="C36" s="102"/>
      <c r="D36" s="101"/>
      <c r="E36" s="102"/>
      <c r="F36" s="101"/>
      <c r="G36" s="102"/>
      <c r="H36" s="101"/>
      <c r="I36" s="102"/>
      <c r="J36" s="101"/>
      <c r="K36" s="101"/>
      <c r="M36" s="104"/>
    </row>
    <row r="37" spans="1:13" s="34" customFormat="1" x14ac:dyDescent="0.25">
      <c r="A37" s="80" t="s">
        <v>105</v>
      </c>
      <c r="B37" s="80"/>
      <c r="C37" s="80">
        <f>+MIN(C33/2,$B$7/(1-$B$7*2)*C34)</f>
        <v>0</v>
      </c>
      <c r="D37" s="80"/>
      <c r="E37" s="80">
        <f>+MIN(E33/2,$B$7/(1-$B$7*2)*E34)</f>
        <v>0</v>
      </c>
      <c r="F37" s="80"/>
      <c r="G37" s="80">
        <f>+MIN(G33/2,$B$7/(1-$B$7*2)*G34)</f>
        <v>0</v>
      </c>
      <c r="H37" s="80"/>
      <c r="I37" s="80">
        <f>+MIN(I33/2,$B$7/(1-$B$7*2)*I34)</f>
        <v>0</v>
      </c>
      <c r="J37" s="74">
        <v>0.5</v>
      </c>
      <c r="K37" s="75" t="s">
        <v>52</v>
      </c>
      <c r="M37" s="43"/>
    </row>
    <row r="38" spans="1:13" s="34" customFormat="1" x14ac:dyDescent="0.25">
      <c r="A38" s="80" t="s">
        <v>59</v>
      </c>
      <c r="B38" s="80"/>
      <c r="C38" s="56">
        <f>+C37</f>
        <v>0</v>
      </c>
      <c r="D38" s="80"/>
      <c r="E38" s="56">
        <f>+E37</f>
        <v>0</v>
      </c>
      <c r="F38" s="80"/>
      <c r="G38" s="56">
        <f>+G37</f>
        <v>0</v>
      </c>
      <c r="H38" s="80"/>
      <c r="I38" s="56">
        <f>+I37</f>
        <v>0</v>
      </c>
      <c r="J38" s="74">
        <v>0.5</v>
      </c>
      <c r="K38" s="75" t="s">
        <v>53</v>
      </c>
      <c r="M38" s="43"/>
    </row>
    <row r="39" spans="1:13" s="34" customFormat="1" x14ac:dyDescent="0.25">
      <c r="A39" s="80" t="s">
        <v>48</v>
      </c>
      <c r="B39" s="80"/>
      <c r="C39" s="80">
        <f>+C33-C37-C38</f>
        <v>0</v>
      </c>
      <c r="D39" s="80"/>
      <c r="E39" s="80">
        <f>+E33-E37-E38</f>
        <v>0</v>
      </c>
      <c r="F39" s="80"/>
      <c r="G39" s="80">
        <f>+G33-G37-G38</f>
        <v>0</v>
      </c>
      <c r="H39" s="80"/>
      <c r="I39" s="80">
        <f>+I33-I37-I38</f>
        <v>0</v>
      </c>
      <c r="J39" s="80"/>
      <c r="K39" s="80"/>
      <c r="M39" s="43"/>
    </row>
    <row r="40" spans="1:13" s="34" customFormat="1" x14ac:dyDescent="0.25">
      <c r="A40" s="80"/>
      <c r="B40" s="80"/>
      <c r="C40" s="81"/>
      <c r="D40" s="80"/>
      <c r="E40" s="81"/>
      <c r="F40" s="80"/>
      <c r="G40" s="81"/>
      <c r="H40" s="80"/>
      <c r="I40" s="81"/>
      <c r="J40" s="80"/>
      <c r="K40" s="80"/>
      <c r="M40" s="43"/>
    </row>
    <row r="41" spans="1:13" s="103" customFormat="1" ht="17.25" x14ac:dyDescent="0.4">
      <c r="A41" s="52" t="s">
        <v>111</v>
      </c>
      <c r="B41" s="105"/>
      <c r="C41" s="102"/>
      <c r="D41" s="101"/>
      <c r="E41" s="102"/>
      <c r="F41" s="101"/>
      <c r="G41" s="102"/>
      <c r="H41" s="101"/>
      <c r="I41" s="102"/>
      <c r="J41" s="101"/>
      <c r="K41" s="101"/>
      <c r="M41" s="104"/>
    </row>
    <row r="42" spans="1:13" s="34" customFormat="1" x14ac:dyDescent="0.25">
      <c r="A42" s="80" t="s">
        <v>48</v>
      </c>
      <c r="B42" s="80"/>
      <c r="C42" s="80">
        <f>+C39</f>
        <v>0</v>
      </c>
      <c r="D42" s="80"/>
      <c r="E42" s="80">
        <f>+E39</f>
        <v>0</v>
      </c>
      <c r="F42" s="80"/>
      <c r="G42" s="80">
        <f>+G39</f>
        <v>0</v>
      </c>
      <c r="H42" s="80"/>
      <c r="I42" s="80">
        <f>+I39</f>
        <v>0</v>
      </c>
      <c r="J42" s="80"/>
      <c r="K42" s="80"/>
      <c r="M42" s="43"/>
    </row>
    <row r="43" spans="1:13" s="34" customFormat="1" x14ac:dyDescent="0.25">
      <c r="A43" s="80" t="s">
        <v>113</v>
      </c>
      <c r="B43" s="80"/>
      <c r="C43" s="80">
        <f>+C42-C44</f>
        <v>0</v>
      </c>
      <c r="D43" s="80"/>
      <c r="E43" s="80">
        <f>+E42-E44</f>
        <v>0</v>
      </c>
      <c r="F43" s="80"/>
      <c r="G43" s="80">
        <f>+G42-G44</f>
        <v>0</v>
      </c>
      <c r="H43" s="80"/>
      <c r="I43" s="80">
        <f>+I42-I44</f>
        <v>0</v>
      </c>
      <c r="J43" s="74">
        <v>0.1</v>
      </c>
      <c r="K43" s="75" t="s">
        <v>54</v>
      </c>
      <c r="M43" s="43"/>
    </row>
    <row r="44" spans="1:13" s="34" customFormat="1" x14ac:dyDescent="0.25">
      <c r="A44" s="80" t="s">
        <v>84</v>
      </c>
      <c r="B44" s="80"/>
      <c r="C44" s="80">
        <f>+C42*90%</f>
        <v>0</v>
      </c>
      <c r="D44" s="80"/>
      <c r="E44" s="80">
        <f>+E42*90%</f>
        <v>0</v>
      </c>
      <c r="F44" s="80"/>
      <c r="G44" s="80">
        <f>+G42*90%</f>
        <v>0</v>
      </c>
      <c r="H44" s="80"/>
      <c r="I44" s="80">
        <f>+I42*90%</f>
        <v>0</v>
      </c>
      <c r="J44" s="74">
        <v>0.9</v>
      </c>
      <c r="K44" s="75" t="s">
        <v>52</v>
      </c>
      <c r="M44" s="43"/>
    </row>
    <row r="45" spans="1:13" s="34" customFormat="1" x14ac:dyDescent="0.25">
      <c r="A45" s="80"/>
      <c r="B45" s="80"/>
      <c r="C45" s="81"/>
      <c r="D45" s="80"/>
      <c r="E45" s="81"/>
      <c r="F45" s="80"/>
      <c r="G45" s="81"/>
      <c r="H45" s="80"/>
      <c r="I45" s="81"/>
      <c r="J45" s="80"/>
      <c r="K45" s="80"/>
      <c r="M45" s="43"/>
    </row>
    <row r="46" spans="1:13" s="34" customFormat="1" x14ac:dyDescent="0.25">
      <c r="A46" s="80" t="s">
        <v>66</v>
      </c>
      <c r="B46" s="80"/>
      <c r="C46" s="80">
        <f>+C37+C43</f>
        <v>0</v>
      </c>
      <c r="D46" s="80"/>
      <c r="E46" s="80">
        <f>+E37+E43</f>
        <v>0</v>
      </c>
      <c r="F46" s="80"/>
      <c r="G46" s="80">
        <f>+G37+G43</f>
        <v>0</v>
      </c>
      <c r="H46" s="80"/>
      <c r="I46" s="80">
        <f>+I37+I43</f>
        <v>0</v>
      </c>
      <c r="J46" s="80"/>
      <c r="K46" s="80"/>
      <c r="M46" s="43"/>
    </row>
    <row r="47" spans="1:13" s="72" customFormat="1" x14ac:dyDescent="0.25">
      <c r="A47" s="80" t="s">
        <v>114</v>
      </c>
      <c r="B47" s="80"/>
      <c r="C47" s="80">
        <f>+C46</f>
        <v>0</v>
      </c>
      <c r="D47" s="80"/>
      <c r="E47" s="80">
        <f>+E46-SUM($C$47:C47)</f>
        <v>0</v>
      </c>
      <c r="F47" s="80"/>
      <c r="G47" s="80">
        <f>+G46-SUM($C$47:E47)</f>
        <v>0</v>
      </c>
      <c r="H47" s="80"/>
      <c r="I47" s="80">
        <f>+I46-SUM($C$47:G47)</f>
        <v>0</v>
      </c>
      <c r="J47" s="80"/>
      <c r="K47" s="80"/>
      <c r="M47" s="77"/>
    </row>
    <row r="48" spans="1:13" s="72" customFormat="1" x14ac:dyDescent="0.25">
      <c r="A48" s="80"/>
      <c r="B48" s="80"/>
      <c r="C48" s="54"/>
      <c r="D48" s="80"/>
      <c r="E48" s="54"/>
      <c r="F48" s="80"/>
      <c r="G48" s="54"/>
      <c r="H48" s="80"/>
      <c r="I48" s="54"/>
      <c r="J48" s="80"/>
      <c r="K48" s="80"/>
      <c r="M48" s="77"/>
    </row>
    <row r="49" spans="1:15" s="72" customFormat="1" x14ac:dyDescent="0.25">
      <c r="A49" s="52" t="s">
        <v>67</v>
      </c>
      <c r="B49" s="52"/>
      <c r="C49" s="54"/>
      <c r="D49" s="80"/>
      <c r="E49" s="54"/>
      <c r="F49" s="80"/>
      <c r="G49" s="54"/>
      <c r="H49" s="80"/>
      <c r="I49" s="54"/>
      <c r="J49" s="80"/>
      <c r="K49" s="80"/>
      <c r="M49" s="77"/>
    </row>
    <row r="50" spans="1:15" s="72" customFormat="1" x14ac:dyDescent="0.25">
      <c r="A50" s="80" t="s">
        <v>68</v>
      </c>
      <c r="B50" s="80"/>
      <c r="C50" s="81">
        <f>+C29-C51</f>
        <v>-3000000</v>
      </c>
      <c r="D50" s="85"/>
      <c r="E50" s="81">
        <f>+E29-E51</f>
        <v>13580000</v>
      </c>
      <c r="F50" s="85"/>
      <c r="G50" s="81">
        <f>+G29-G51</f>
        <v>-4423200</v>
      </c>
      <c r="H50" s="85"/>
      <c r="I50" s="81">
        <f>+I29-I51</f>
        <v>14861952</v>
      </c>
      <c r="J50" s="80"/>
      <c r="K50" s="80"/>
      <c r="M50" s="77"/>
      <c r="O50" s="87"/>
    </row>
    <row r="51" spans="1:15" s="72" customFormat="1" x14ac:dyDescent="0.25">
      <c r="A51" s="80" t="s">
        <v>69</v>
      </c>
      <c r="B51" s="80"/>
      <c r="C51" s="80">
        <f>+C47</f>
        <v>0</v>
      </c>
      <c r="D51" s="80"/>
      <c r="E51" s="80">
        <f>+E47</f>
        <v>0</v>
      </c>
      <c r="F51" s="80"/>
      <c r="G51" s="80">
        <f>+G47</f>
        <v>0</v>
      </c>
      <c r="H51" s="80"/>
      <c r="I51" s="80">
        <f>+I47</f>
        <v>0</v>
      </c>
      <c r="J51" s="80"/>
      <c r="K51" s="80"/>
      <c r="M51" s="77"/>
      <c r="O51" s="87"/>
    </row>
    <row r="52" spans="1:15" s="72" customFormat="1" x14ac:dyDescent="0.25">
      <c r="A52" s="80"/>
      <c r="B52" s="80"/>
      <c r="C52" s="54"/>
      <c r="D52" s="80"/>
      <c r="E52" s="54"/>
      <c r="F52" s="80"/>
      <c r="G52" s="54"/>
      <c r="H52" s="80"/>
      <c r="I52" s="54"/>
      <c r="J52" s="80"/>
      <c r="K52" s="80"/>
      <c r="M52" s="77"/>
      <c r="O52" s="87"/>
    </row>
    <row r="53" spans="1:15" x14ac:dyDescent="0.25">
      <c r="A53" s="52" t="s">
        <v>70</v>
      </c>
      <c r="B53" s="52"/>
      <c r="O53" s="87"/>
    </row>
    <row r="54" spans="1:15" x14ac:dyDescent="0.25">
      <c r="A54" s="80" t="s">
        <v>82</v>
      </c>
      <c r="B54" s="80"/>
      <c r="C54" s="98">
        <f>+C32-C55</f>
        <v>-3000000</v>
      </c>
      <c r="D54" s="99"/>
      <c r="E54" s="98">
        <f>+E32-E55</f>
        <v>10580000</v>
      </c>
      <c r="F54" s="99"/>
      <c r="G54" s="98">
        <f>+G32-G55</f>
        <v>6156800</v>
      </c>
      <c r="H54" s="99"/>
      <c r="I54" s="98">
        <f>+I32-I55</f>
        <v>21018752</v>
      </c>
      <c r="O54" s="87"/>
    </row>
    <row r="55" spans="1:15" x14ac:dyDescent="0.25">
      <c r="A55" s="80" t="s">
        <v>83</v>
      </c>
      <c r="B55" s="80"/>
      <c r="C55" s="80">
        <f>+C47</f>
        <v>0</v>
      </c>
      <c r="D55" s="80"/>
      <c r="E55" s="80">
        <f>+C55+E47</f>
        <v>0</v>
      </c>
      <c r="F55" s="80"/>
      <c r="G55" s="80">
        <f>+E55+G47</f>
        <v>0</v>
      </c>
      <c r="H55" s="80"/>
      <c r="I55" s="80">
        <f>+G55+I47</f>
        <v>0</v>
      </c>
      <c r="O55" s="87"/>
    </row>
    <row r="56" spans="1:15" s="72" customFormat="1" x14ac:dyDescent="0.25">
      <c r="A56" s="80" t="s">
        <v>58</v>
      </c>
      <c r="B56" s="80"/>
      <c r="C56" s="96">
        <f>+IF(C55&lt;0,"NM",C55/SUM(C54:C55))</f>
        <v>0</v>
      </c>
      <c r="D56" s="97"/>
      <c r="E56" s="96">
        <f>+IF(E55&lt;0,"NM",E55/SUM(E54:E55))</f>
        <v>0</v>
      </c>
      <c r="F56" s="97"/>
      <c r="G56" s="96">
        <f>+IF(G55&lt;0,"NM",G55/SUM(G54:G55))</f>
        <v>0</v>
      </c>
      <c r="H56" s="97"/>
      <c r="I56" s="96">
        <f>+IF(I55&lt;0,"NM",I55/SUM(I54:I55))</f>
        <v>0</v>
      </c>
    </row>
    <row r="57" spans="1:15" s="72" customFormat="1" x14ac:dyDescent="0.25">
      <c r="A57" s="80"/>
      <c r="B57" s="80"/>
      <c r="C57" s="86"/>
      <c r="D57" s="80"/>
      <c r="E57" s="86"/>
      <c r="F57" s="80"/>
      <c r="G57" s="86"/>
      <c r="H57" s="80"/>
      <c r="I57" s="86"/>
    </row>
    <row r="58" spans="1:15" s="72" customFormat="1" x14ac:dyDescent="0.25">
      <c r="A58" s="80"/>
      <c r="B58" s="80"/>
      <c r="C58" s="86"/>
      <c r="D58" s="80"/>
      <c r="E58" s="86"/>
      <c r="F58" s="80"/>
      <c r="G58" s="86"/>
      <c r="H58" s="80"/>
      <c r="I58" s="86"/>
    </row>
    <row r="59" spans="1:15" s="72" customFormat="1" x14ac:dyDescent="0.25">
      <c r="A59" s="55" t="s">
        <v>107</v>
      </c>
      <c r="B59" s="55"/>
      <c r="C59" s="86"/>
      <c r="D59" s="80"/>
      <c r="E59" s="86"/>
      <c r="F59" s="80"/>
      <c r="G59" s="86"/>
      <c r="H59" s="80"/>
      <c r="I59" s="86"/>
    </row>
    <row r="60" spans="1:15" s="72" customFormat="1" x14ac:dyDescent="0.25">
      <c r="A60" s="118" t="s">
        <v>108</v>
      </c>
      <c r="B60" s="55"/>
      <c r="C60" s="86"/>
      <c r="D60" s="80"/>
      <c r="E60" s="86"/>
      <c r="F60" s="80"/>
      <c r="G60" s="86"/>
      <c r="H60" s="80"/>
      <c r="I60" s="86"/>
    </row>
    <row r="61" spans="1:15" s="72" customFormat="1" x14ac:dyDescent="0.25">
      <c r="A61" s="118" t="s">
        <v>109</v>
      </c>
      <c r="B61" s="80"/>
      <c r="C61" s="86"/>
      <c r="D61" s="80"/>
      <c r="E61" s="86"/>
      <c r="F61" s="80"/>
      <c r="G61" s="86"/>
      <c r="H61" s="80"/>
      <c r="I61" s="86"/>
    </row>
    <row r="62" spans="1:15" s="72" customFormat="1" x14ac:dyDescent="0.25">
      <c r="A62" s="80"/>
      <c r="B62" s="80"/>
      <c r="C62" s="86"/>
      <c r="D62" s="80"/>
      <c r="E62" s="86"/>
      <c r="F62" s="80"/>
      <c r="G62" s="86"/>
      <c r="H62" s="80"/>
      <c r="I62" s="86"/>
    </row>
    <row r="63" spans="1:15" s="72" customFormat="1" ht="16.5" customHeight="1" x14ac:dyDescent="0.25">
      <c r="A63" s="119" t="s">
        <v>115</v>
      </c>
      <c r="B63" s="120"/>
      <c r="C63" s="120"/>
      <c r="D63" s="120"/>
      <c r="E63" s="120"/>
      <c r="F63" s="120"/>
      <c r="G63" s="120"/>
      <c r="H63" s="120"/>
      <c r="I63" s="120"/>
      <c r="J63" s="120"/>
      <c r="K63" s="120"/>
    </row>
    <row r="64" spans="1:15" s="72" customFormat="1" x14ac:dyDescent="0.25">
      <c r="A64" s="121" t="s">
        <v>116</v>
      </c>
      <c r="B64" s="121"/>
      <c r="C64" s="121"/>
      <c r="D64" s="121"/>
      <c r="E64" s="121"/>
      <c r="F64" s="121"/>
      <c r="G64" s="121"/>
      <c r="H64" s="121"/>
      <c r="I64" s="121"/>
      <c r="J64" s="121"/>
      <c r="K64" s="121"/>
    </row>
    <row r="65" spans="1:11" s="72" customFormat="1" x14ac:dyDescent="0.25">
      <c r="A65" s="117"/>
      <c r="B65" s="117"/>
      <c r="C65" s="117"/>
      <c r="D65" s="117"/>
      <c r="E65" s="117"/>
      <c r="F65" s="117"/>
      <c r="G65" s="117"/>
      <c r="H65" s="117"/>
      <c r="I65" s="117"/>
      <c r="J65" s="117"/>
      <c r="K65" s="117"/>
    </row>
    <row r="66" spans="1:11" s="72" customFormat="1" x14ac:dyDescent="0.25">
      <c r="A66" s="80" t="s">
        <v>110</v>
      </c>
      <c r="B66" s="80"/>
      <c r="C66" s="86"/>
      <c r="D66" s="80"/>
      <c r="E66" s="86"/>
      <c r="F66" s="80"/>
      <c r="G66" s="86"/>
      <c r="H66" s="80"/>
      <c r="I66" s="86"/>
    </row>
    <row r="67" spans="1:11" s="72" customFormat="1" x14ac:dyDescent="0.25">
      <c r="A67" s="118" t="s">
        <v>71</v>
      </c>
      <c r="B67" s="55"/>
      <c r="C67" s="86"/>
      <c r="D67" s="80"/>
      <c r="E67" s="86"/>
      <c r="F67" s="80"/>
      <c r="G67" s="86"/>
      <c r="H67" s="80"/>
      <c r="I67" s="86"/>
    </row>
    <row r="68" spans="1:11" s="72" customFormat="1" x14ac:dyDescent="0.25">
      <c r="A68" s="118" t="s">
        <v>72</v>
      </c>
      <c r="B68" s="80"/>
      <c r="C68" s="86"/>
      <c r="D68" s="80"/>
      <c r="E68" s="86"/>
      <c r="F68" s="80"/>
      <c r="G68" s="86"/>
      <c r="H68" s="80"/>
      <c r="I68" s="86"/>
    </row>
    <row r="69" spans="1:11" s="72" customFormat="1" x14ac:dyDescent="0.25">
      <c r="A69" s="80"/>
      <c r="B69" s="80"/>
      <c r="C69" s="86"/>
      <c r="D69" s="80"/>
      <c r="E69" s="86"/>
      <c r="F69" s="80"/>
      <c r="G69" s="86"/>
      <c r="H69" s="80"/>
      <c r="I69" s="86"/>
    </row>
    <row r="70" spans="1:11" s="72" customFormat="1" x14ac:dyDescent="0.25">
      <c r="A70" s="80"/>
      <c r="B70" s="80"/>
      <c r="C70" s="86"/>
      <c r="D70" s="80"/>
      <c r="E70" s="86"/>
      <c r="F70" s="80"/>
      <c r="G70" s="86"/>
      <c r="H70" s="80"/>
      <c r="I70" s="86"/>
    </row>
    <row r="71" spans="1:11" s="72" customFormat="1" x14ac:dyDescent="0.25">
      <c r="A71" s="80"/>
      <c r="B71" s="94" t="s">
        <v>78</v>
      </c>
      <c r="C71" s="86"/>
      <c r="D71" s="80"/>
      <c r="E71" s="86"/>
      <c r="F71" s="80"/>
      <c r="G71" s="86"/>
      <c r="H71" s="80"/>
      <c r="I71" s="86"/>
    </row>
    <row r="72" spans="1:11" s="72" customFormat="1" x14ac:dyDescent="0.25">
      <c r="B72" s="95" t="s">
        <v>74</v>
      </c>
      <c r="C72" s="88">
        <f>+C16+C15</f>
        <v>100000000</v>
      </c>
      <c r="D72" s="88"/>
      <c r="E72" s="88">
        <f>+E16+E15</f>
        <v>97000000</v>
      </c>
      <c r="F72" s="89"/>
      <c r="G72" s="88">
        <f>+G16+G15</f>
        <v>110580000</v>
      </c>
      <c r="H72" s="89"/>
      <c r="I72" s="88">
        <f>+I16+I15</f>
        <v>106156800</v>
      </c>
    </row>
    <row r="73" spans="1:11" s="72" customFormat="1" x14ac:dyDescent="0.25">
      <c r="B73" s="95" t="s">
        <v>75</v>
      </c>
      <c r="C73" s="90">
        <f>+C29</f>
        <v>-3000000</v>
      </c>
      <c r="D73" s="89"/>
      <c r="E73" s="90">
        <f>+E29</f>
        <v>13580000</v>
      </c>
      <c r="F73" s="89"/>
      <c r="G73" s="90">
        <f>+G29</f>
        <v>-4423200</v>
      </c>
      <c r="H73" s="89"/>
      <c r="I73" s="90">
        <f>+I29</f>
        <v>14861952</v>
      </c>
    </row>
    <row r="74" spans="1:11" s="72" customFormat="1" x14ac:dyDescent="0.25">
      <c r="B74" s="95" t="s">
        <v>73</v>
      </c>
      <c r="C74" s="92">
        <f>+SUM(C72:C73)</f>
        <v>97000000</v>
      </c>
      <c r="D74" s="93"/>
      <c r="E74" s="92">
        <f>+SUM(E72:E73)</f>
        <v>110580000</v>
      </c>
      <c r="F74" s="93"/>
      <c r="G74" s="92">
        <f>+SUM(G72:G73)</f>
        <v>106156800</v>
      </c>
      <c r="H74" s="93"/>
      <c r="I74" s="92">
        <f>+SUM(I72:I73)</f>
        <v>121018752</v>
      </c>
    </row>
    <row r="75" spans="1:11" s="72" customFormat="1" x14ac:dyDescent="0.25">
      <c r="B75" s="95" t="s">
        <v>76</v>
      </c>
      <c r="C75" s="88"/>
      <c r="D75" s="89"/>
      <c r="E75" s="88">
        <f>+C47+C75</f>
        <v>0</v>
      </c>
      <c r="F75" s="88"/>
      <c r="G75" s="88">
        <f>+E47+E75</f>
        <v>0</v>
      </c>
      <c r="H75" s="89"/>
      <c r="I75" s="88">
        <f>+G47+G75</f>
        <v>0</v>
      </c>
    </row>
    <row r="76" spans="1:11" s="72" customFormat="1" x14ac:dyDescent="0.25">
      <c r="B76" s="95" t="s">
        <v>77</v>
      </c>
      <c r="C76" s="90">
        <f>-C23</f>
        <v>-106000000</v>
      </c>
      <c r="D76" s="89"/>
      <c r="E76" s="90">
        <f>-E23</f>
        <v>-112360000</v>
      </c>
      <c r="F76" s="89"/>
      <c r="G76" s="90">
        <f>-G23</f>
        <v>-119101600</v>
      </c>
      <c r="H76" s="89"/>
      <c r="I76" s="90">
        <f>-I23</f>
        <v>-126247696</v>
      </c>
    </row>
    <row r="77" spans="1:11" s="72" customFormat="1" x14ac:dyDescent="0.25">
      <c r="A77" s="34"/>
      <c r="B77" s="95" t="s">
        <v>78</v>
      </c>
      <c r="C77" s="91">
        <f>+MAX(0,SUM(C74:C76))</f>
        <v>0</v>
      </c>
      <c r="D77" s="36"/>
      <c r="E77" s="91">
        <f>+MAX(0,SUM(E74:E76))</f>
        <v>0</v>
      </c>
      <c r="F77" s="36"/>
      <c r="G77" s="91">
        <f>+MAX(0,SUM(G74:G76))</f>
        <v>0</v>
      </c>
      <c r="H77" s="36"/>
      <c r="I77" s="91">
        <f>+MAX(0,SUM(I74:I76))</f>
        <v>0</v>
      </c>
      <c r="K77" s="100"/>
    </row>
    <row r="78" spans="1:11" s="72" customFormat="1" x14ac:dyDescent="0.25">
      <c r="A78" s="34"/>
      <c r="B78" s="95" t="s">
        <v>79</v>
      </c>
      <c r="C78" s="36" t="b">
        <f>IF(+C77-C33&lt;=0.5,TRUE,FALSE)</f>
        <v>1</v>
      </c>
      <c r="D78" s="36"/>
      <c r="E78" s="36" t="b">
        <f>IF(+E77-E33&lt;=0.5,TRUE,FALSE)</f>
        <v>1</v>
      </c>
      <c r="F78" s="36"/>
      <c r="G78" s="36" t="b">
        <f>IF(+G77-G33&lt;=0.5,TRUE,FALSE)</f>
        <v>1</v>
      </c>
      <c r="H78" s="36"/>
      <c r="I78" s="36" t="b">
        <f>IF(+I77-I33&lt;=0.5,TRUE,FALSE)</f>
        <v>1</v>
      </c>
    </row>
    <row r="79" spans="1:11" x14ac:dyDescent="0.25">
      <c r="A79" s="34"/>
      <c r="B79" s="95"/>
      <c r="C79" s="36"/>
      <c r="D79" s="36"/>
      <c r="E79" s="36"/>
      <c r="F79" s="36"/>
      <c r="G79" s="36"/>
      <c r="H79" s="36"/>
      <c r="I79" s="36"/>
    </row>
    <row r="80" spans="1:11" x14ac:dyDescent="0.25">
      <c r="B80" s="94" t="s">
        <v>80</v>
      </c>
      <c r="C80" s="86"/>
      <c r="D80" s="80"/>
      <c r="E80" s="86"/>
      <c r="F80" s="80"/>
      <c r="G80" s="86"/>
      <c r="H80" s="80"/>
      <c r="I80" s="86"/>
    </row>
    <row r="81" spans="2:9" x14ac:dyDescent="0.25">
      <c r="B81" s="95" t="s">
        <v>74</v>
      </c>
      <c r="C81" s="88">
        <f>+C72</f>
        <v>100000000</v>
      </c>
      <c r="D81" s="88"/>
      <c r="E81" s="88">
        <f>+E72</f>
        <v>97000000</v>
      </c>
      <c r="F81" s="89"/>
      <c r="G81" s="88">
        <f>+G72</f>
        <v>110580000</v>
      </c>
      <c r="H81" s="89"/>
      <c r="I81" s="88">
        <f>+I72</f>
        <v>106156800</v>
      </c>
    </row>
    <row r="82" spans="2:9" x14ac:dyDescent="0.25">
      <c r="B82" s="95" t="s">
        <v>75</v>
      </c>
      <c r="C82" s="90">
        <f>+C73</f>
        <v>-3000000</v>
      </c>
      <c r="D82" s="89"/>
      <c r="E82" s="90">
        <f>+E73</f>
        <v>13580000</v>
      </c>
      <c r="F82" s="89"/>
      <c r="G82" s="90">
        <f>+G73</f>
        <v>-4423200</v>
      </c>
      <c r="H82" s="89"/>
      <c r="I82" s="90">
        <f>+I73</f>
        <v>14861952</v>
      </c>
    </row>
    <row r="83" spans="2:9" x14ac:dyDescent="0.25">
      <c r="B83" s="95" t="s">
        <v>73</v>
      </c>
      <c r="C83" s="88">
        <f>+C74</f>
        <v>97000000</v>
      </c>
      <c r="D83" s="93"/>
      <c r="E83" s="88">
        <f>+E74</f>
        <v>110580000</v>
      </c>
      <c r="F83" s="93"/>
      <c r="G83" s="88">
        <f>+G74</f>
        <v>106156800</v>
      </c>
      <c r="H83" s="93"/>
      <c r="I83" s="88">
        <f>+I74</f>
        <v>121018752</v>
      </c>
    </row>
    <row r="84" spans="2:9" x14ac:dyDescent="0.25">
      <c r="B84" s="95" t="s">
        <v>76</v>
      </c>
      <c r="C84" s="88"/>
      <c r="D84" s="89"/>
      <c r="E84" s="88">
        <f>+E75</f>
        <v>0</v>
      </c>
      <c r="F84" s="89"/>
      <c r="G84" s="88">
        <f>+G75</f>
        <v>0</v>
      </c>
      <c r="H84" s="89"/>
      <c r="I84" s="88">
        <f>+I75</f>
        <v>0</v>
      </c>
    </row>
    <row r="85" spans="2:9" x14ac:dyDescent="0.25">
      <c r="B85" s="95" t="s">
        <v>81</v>
      </c>
      <c r="C85" s="90">
        <f>-$C$81</f>
        <v>-100000000</v>
      </c>
      <c r="D85" s="89"/>
      <c r="E85" s="90">
        <f>-$C$81</f>
        <v>-100000000</v>
      </c>
      <c r="F85" s="89"/>
      <c r="G85" s="90">
        <f>-$C$81</f>
        <v>-100000000</v>
      </c>
      <c r="H85" s="89"/>
      <c r="I85" s="90">
        <f>-$C$81</f>
        <v>-100000000</v>
      </c>
    </row>
    <row r="86" spans="2:9" x14ac:dyDescent="0.25">
      <c r="B86" s="95" t="s">
        <v>80</v>
      </c>
      <c r="C86" s="91">
        <f>+SUM(C83:C85)</f>
        <v>-3000000</v>
      </c>
      <c r="D86" s="36"/>
      <c r="E86" s="91">
        <f>+SUM(E83:E85)</f>
        <v>10580000</v>
      </c>
      <c r="F86" s="36"/>
      <c r="G86" s="91">
        <f>+SUM(G83:G85)</f>
        <v>6156800</v>
      </c>
      <c r="H86" s="36"/>
      <c r="I86" s="91">
        <f>+SUM(I83:I85)</f>
        <v>21018752</v>
      </c>
    </row>
    <row r="87" spans="2:9" x14ac:dyDescent="0.25">
      <c r="B87" s="95" t="s">
        <v>79</v>
      </c>
      <c r="C87" s="36" t="b">
        <f>IF(+C86-C32&lt;0.5,TRUE,FALSE)</f>
        <v>1</v>
      </c>
      <c r="D87" s="36"/>
      <c r="E87" s="36" t="b">
        <f>IF(+E86-E32&lt;0.5,TRUE,FALSE)</f>
        <v>1</v>
      </c>
      <c r="F87" s="36"/>
      <c r="G87" s="36" t="b">
        <f>IF(+G86-G32&lt;0.5,TRUE,FALSE)</f>
        <v>1</v>
      </c>
      <c r="H87" s="36"/>
      <c r="I87" s="36" t="b">
        <f>IF(+I86-I32&lt;0.5,TRUE,FALSE)</f>
        <v>1</v>
      </c>
    </row>
  </sheetData>
  <mergeCells count="2">
    <mergeCell ref="A63:K63"/>
    <mergeCell ref="A64:K64"/>
  </mergeCells>
  <pageMargins left="0.7" right="0.7" top="0.75" bottom="0.75" header="0.3" footer="0.3"/>
  <pageSetup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view="pageBreakPreview" zoomScale="85" zoomScaleNormal="85" zoomScaleSheetLayoutView="85" workbookViewId="0">
      <selection activeCell="C48" sqref="C48"/>
    </sheetView>
  </sheetViews>
  <sheetFormatPr defaultRowHeight="15" outlineLevelRow="1" x14ac:dyDescent="0.25"/>
  <cols>
    <col min="1" max="1" width="56.28515625" style="72" customWidth="1"/>
    <col min="2" max="2" width="13.7109375" style="72" bestFit="1" customWidth="1"/>
    <col min="3" max="3" width="13.85546875" style="72" bestFit="1" customWidth="1"/>
    <col min="4" max="4" width="2.28515625" style="72" customWidth="1"/>
    <col min="5" max="5" width="14.28515625" style="72" bestFit="1" customWidth="1"/>
    <col min="6" max="6" width="2.28515625" style="72" customWidth="1"/>
    <col min="7" max="7" width="14.28515625" style="72" bestFit="1" customWidth="1"/>
    <col min="8" max="8" width="2.28515625" style="72" customWidth="1"/>
    <col min="9" max="9" width="14.5703125" style="72" bestFit="1" customWidth="1"/>
    <col min="10" max="10" width="8.140625" style="72" bestFit="1" customWidth="1"/>
    <col min="11" max="11" width="9.140625" style="72"/>
    <col min="12" max="12" width="12.140625" style="72" customWidth="1"/>
    <col min="13" max="14" width="10.5703125" style="72" bestFit="1" customWidth="1"/>
    <col min="15" max="16384" width="9.140625" style="72"/>
  </cols>
  <sheetData>
    <row r="1" spans="1:12" ht="15.75" x14ac:dyDescent="0.25">
      <c r="A1" s="50" t="s">
        <v>38</v>
      </c>
      <c r="B1" s="50"/>
      <c r="C1" s="80"/>
      <c r="D1" s="80"/>
      <c r="E1" s="80"/>
      <c r="F1" s="80"/>
      <c r="G1" s="80"/>
      <c r="H1" s="80"/>
      <c r="I1" s="80"/>
      <c r="J1" s="80"/>
      <c r="K1" s="80"/>
      <c r="L1" s="80"/>
    </row>
    <row r="2" spans="1:12" x14ac:dyDescent="0.25">
      <c r="A2" s="51" t="s">
        <v>6</v>
      </c>
      <c r="B2" s="51"/>
      <c r="C2" s="80"/>
      <c r="D2" s="80"/>
      <c r="E2" s="80"/>
      <c r="F2" s="80"/>
      <c r="G2" s="80"/>
      <c r="H2" s="80"/>
      <c r="I2" s="80"/>
      <c r="J2" s="80"/>
      <c r="K2" s="80"/>
      <c r="L2" s="80"/>
    </row>
    <row r="3" spans="1:12" x14ac:dyDescent="0.25">
      <c r="A3" s="80"/>
      <c r="B3" s="80"/>
      <c r="C3" s="80"/>
      <c r="D3" s="80"/>
      <c r="E3" s="80"/>
      <c r="F3" s="80"/>
      <c r="G3" s="80"/>
      <c r="H3" s="80"/>
      <c r="I3" s="80"/>
      <c r="J3" s="80"/>
      <c r="K3" s="80"/>
      <c r="L3" s="80"/>
    </row>
    <row r="4" spans="1:12" ht="16.5" x14ac:dyDescent="0.35">
      <c r="A4" s="65" t="s">
        <v>55</v>
      </c>
      <c r="B4" s="124"/>
      <c r="D4" s="80"/>
      <c r="E4" s="80"/>
      <c r="F4" s="80"/>
      <c r="G4" s="80"/>
      <c r="H4" s="80"/>
      <c r="I4" s="80"/>
      <c r="J4" s="80"/>
      <c r="K4" s="80"/>
      <c r="L4" s="80"/>
    </row>
    <row r="5" spans="1:12" x14ac:dyDescent="0.25">
      <c r="A5" s="64" t="s">
        <v>44</v>
      </c>
      <c r="B5" s="66">
        <v>0.01</v>
      </c>
      <c r="D5" s="80"/>
      <c r="E5" s="80"/>
      <c r="F5" s="80"/>
      <c r="G5" s="80"/>
      <c r="H5" s="80"/>
      <c r="I5" s="80"/>
      <c r="J5" s="80"/>
      <c r="K5" s="80"/>
      <c r="L5" s="80"/>
    </row>
    <row r="6" spans="1:12" x14ac:dyDescent="0.25">
      <c r="A6" s="64" t="s">
        <v>45</v>
      </c>
      <c r="B6" s="66">
        <v>0.06</v>
      </c>
      <c r="D6" s="80"/>
      <c r="E6" s="80"/>
      <c r="F6" s="80"/>
      <c r="G6" s="80"/>
      <c r="H6" s="80"/>
      <c r="I6" s="80"/>
      <c r="J6" s="80"/>
      <c r="K6" s="80"/>
      <c r="L6" s="80"/>
    </row>
    <row r="7" spans="1:12" x14ac:dyDescent="0.25">
      <c r="A7" s="67" t="s">
        <v>46</v>
      </c>
      <c r="B7" s="76">
        <v>0.1</v>
      </c>
      <c r="D7" s="80"/>
      <c r="E7" s="80"/>
      <c r="F7" s="80"/>
      <c r="G7" s="80"/>
      <c r="H7" s="80"/>
      <c r="I7" s="80"/>
      <c r="J7" s="80"/>
      <c r="K7" s="80"/>
      <c r="L7" s="80"/>
    </row>
    <row r="8" spans="1:12" x14ac:dyDescent="0.25">
      <c r="A8" s="80"/>
      <c r="B8" s="80"/>
      <c r="C8" s="80"/>
      <c r="D8" s="80"/>
      <c r="E8" s="80"/>
      <c r="F8" s="80"/>
      <c r="G8" s="80"/>
      <c r="H8" s="80"/>
      <c r="I8" s="80"/>
      <c r="J8" s="80"/>
      <c r="K8" s="80"/>
      <c r="L8" s="80"/>
    </row>
    <row r="9" spans="1:12" x14ac:dyDescent="0.25">
      <c r="A9" s="80"/>
      <c r="B9" s="80"/>
      <c r="C9" s="80"/>
      <c r="D9" s="80"/>
      <c r="E9" s="80"/>
      <c r="F9" s="80"/>
      <c r="G9" s="80"/>
      <c r="H9" s="80"/>
      <c r="I9" s="80"/>
      <c r="J9" s="80"/>
      <c r="K9" s="80"/>
      <c r="L9" s="80"/>
    </row>
    <row r="10" spans="1:12" x14ac:dyDescent="0.25">
      <c r="A10" s="80"/>
      <c r="B10" s="80"/>
      <c r="C10" s="61" t="s">
        <v>0</v>
      </c>
      <c r="D10" s="62"/>
      <c r="E10" s="61" t="s">
        <v>1</v>
      </c>
      <c r="F10" s="62"/>
      <c r="G10" s="61" t="s">
        <v>2</v>
      </c>
      <c r="H10" s="62"/>
      <c r="I10" s="63" t="s">
        <v>37</v>
      </c>
      <c r="J10" s="80"/>
      <c r="K10" s="80"/>
      <c r="L10" s="80"/>
    </row>
    <row r="11" spans="1:12" x14ac:dyDescent="0.25">
      <c r="A11" s="80"/>
      <c r="B11" s="80"/>
      <c r="C11" s="80"/>
      <c r="D11" s="80"/>
      <c r="E11" s="80"/>
      <c r="F11" s="80"/>
      <c r="G11" s="80"/>
      <c r="H11" s="80"/>
      <c r="I11" s="80"/>
      <c r="J11" s="80"/>
      <c r="K11" s="80"/>
      <c r="L11" s="80"/>
    </row>
    <row r="12" spans="1:12" x14ac:dyDescent="0.25">
      <c r="A12" s="16" t="s">
        <v>24</v>
      </c>
      <c r="B12" s="80"/>
      <c r="C12" s="53">
        <v>-0.02</v>
      </c>
      <c r="D12" s="80"/>
      <c r="E12" s="53">
        <v>0.15</v>
      </c>
      <c r="F12" s="80"/>
      <c r="G12" s="53">
        <v>-0.03</v>
      </c>
      <c r="H12" s="80"/>
      <c r="I12" s="53">
        <v>0.12</v>
      </c>
      <c r="J12" s="80"/>
      <c r="K12" s="80"/>
      <c r="L12" s="80"/>
    </row>
    <row r="13" spans="1:12" x14ac:dyDescent="0.25">
      <c r="A13" s="80"/>
      <c r="B13" s="80"/>
      <c r="C13" s="80"/>
      <c r="D13" s="80"/>
      <c r="E13" s="80"/>
      <c r="F13" s="80"/>
      <c r="G13" s="80"/>
      <c r="H13" s="80"/>
      <c r="I13" s="80"/>
      <c r="J13" s="80"/>
      <c r="K13" s="80"/>
      <c r="L13" s="80"/>
    </row>
    <row r="14" spans="1:12" x14ac:dyDescent="0.25">
      <c r="A14" s="52" t="s">
        <v>47</v>
      </c>
      <c r="B14" s="80"/>
      <c r="C14" s="80"/>
      <c r="D14" s="80"/>
      <c r="E14" s="80"/>
      <c r="F14" s="80"/>
      <c r="G14" s="80"/>
      <c r="H14" s="80"/>
      <c r="I14" s="80"/>
      <c r="J14" s="80"/>
      <c r="K14" s="80"/>
      <c r="L14" s="80"/>
    </row>
    <row r="15" spans="1:12" x14ac:dyDescent="0.25">
      <c r="A15" s="80" t="s">
        <v>4</v>
      </c>
      <c r="B15" s="80"/>
      <c r="C15" s="57">
        <v>0</v>
      </c>
      <c r="D15" s="58"/>
      <c r="E15" s="58">
        <f>+C18</f>
        <v>97000000</v>
      </c>
      <c r="F15" s="58"/>
      <c r="G15" s="58">
        <f>+E18</f>
        <v>109522000</v>
      </c>
      <c r="H15" s="58"/>
      <c r="I15" s="58">
        <f>+G18</f>
        <v>105141120</v>
      </c>
      <c r="J15" s="80"/>
      <c r="K15" s="80"/>
      <c r="L15" s="80"/>
    </row>
    <row r="16" spans="1:12" x14ac:dyDescent="0.25">
      <c r="A16" s="80" t="s">
        <v>40</v>
      </c>
      <c r="B16" s="80"/>
      <c r="C16" s="54">
        <v>100000000</v>
      </c>
      <c r="D16" s="80"/>
      <c r="E16" s="54">
        <v>0</v>
      </c>
      <c r="F16" s="80"/>
      <c r="G16" s="54">
        <v>0</v>
      </c>
      <c r="H16" s="80"/>
      <c r="I16" s="54">
        <v>0</v>
      </c>
      <c r="J16" s="80"/>
      <c r="K16" s="80"/>
      <c r="L16" s="80"/>
    </row>
    <row r="17" spans="1:14" x14ac:dyDescent="0.25">
      <c r="A17" s="80" t="s">
        <v>49</v>
      </c>
      <c r="B17" s="80"/>
      <c r="C17" s="59">
        <f>+IF(C12&lt;0,C23,C31+C36+C41)</f>
        <v>-3000000</v>
      </c>
      <c r="D17" s="60"/>
      <c r="E17" s="59">
        <f>+IF(E12&lt;0,E23,E23-E35-E42)</f>
        <v>12522000</v>
      </c>
      <c r="F17" s="60"/>
      <c r="G17" s="59">
        <f>+IF(G12&lt;0,G23,G31+G36+G41)</f>
        <v>-4380880</v>
      </c>
      <c r="H17" s="60"/>
      <c r="I17" s="59">
        <f>+IF(I12&lt;0,I23,I23-I36-I42)</f>
        <v>11127435.200000001</v>
      </c>
      <c r="J17" s="80"/>
      <c r="K17" s="80"/>
      <c r="L17" s="80"/>
    </row>
    <row r="18" spans="1:14" x14ac:dyDescent="0.25">
      <c r="A18" s="80" t="s">
        <v>62</v>
      </c>
      <c r="B18" s="80"/>
      <c r="C18" s="80">
        <f>+SUM(C15:C17)</f>
        <v>97000000</v>
      </c>
      <c r="D18" s="80"/>
      <c r="E18" s="80">
        <f>+SUM(E15:E17)</f>
        <v>109522000</v>
      </c>
      <c r="F18" s="80"/>
      <c r="G18" s="80">
        <f>+SUM(G15:G17)</f>
        <v>105141120</v>
      </c>
      <c r="H18" s="80"/>
      <c r="I18" s="80">
        <f>+SUM(I15:I17)</f>
        <v>116268555.2</v>
      </c>
      <c r="J18" s="80"/>
      <c r="K18" s="80"/>
      <c r="L18" s="80"/>
      <c r="N18" s="77"/>
    </row>
    <row r="19" spans="1:14" x14ac:dyDescent="0.25">
      <c r="A19" s="80"/>
      <c r="B19" s="80"/>
      <c r="C19" s="54"/>
      <c r="D19" s="80"/>
      <c r="E19" s="54"/>
      <c r="F19" s="80"/>
      <c r="G19" s="54"/>
      <c r="H19" s="80"/>
      <c r="I19" s="54"/>
      <c r="J19" s="80"/>
      <c r="K19" s="80"/>
      <c r="L19" s="80"/>
      <c r="N19" s="77"/>
    </row>
    <row r="20" spans="1:14" x14ac:dyDescent="0.25">
      <c r="A20" s="52" t="s">
        <v>5</v>
      </c>
      <c r="B20" s="80"/>
      <c r="C20" s="54"/>
      <c r="D20" s="80"/>
      <c r="E20" s="54"/>
      <c r="F20" s="80"/>
      <c r="G20" s="54"/>
      <c r="H20" s="80"/>
      <c r="I20" s="54"/>
      <c r="J20" s="80"/>
      <c r="K20" s="80"/>
      <c r="L20" s="80"/>
    </row>
    <row r="21" spans="1:14" x14ac:dyDescent="0.25">
      <c r="A21" s="80" t="s">
        <v>3</v>
      </c>
      <c r="B21" s="80"/>
      <c r="C21" s="8">
        <f>SUM(C15:C16)*C12</f>
        <v>-2000000</v>
      </c>
      <c r="D21" s="80"/>
      <c r="E21" s="8">
        <f>SUM(E15:E16)*E12</f>
        <v>14550000</v>
      </c>
      <c r="F21" s="80"/>
      <c r="G21" s="8">
        <f>SUM(G15:G16)*G12</f>
        <v>-3285660</v>
      </c>
      <c r="H21" s="80"/>
      <c r="I21" s="8">
        <f>SUM(I15:I16)*I12</f>
        <v>12616934.4</v>
      </c>
      <c r="J21" s="80"/>
      <c r="K21" s="80"/>
      <c r="L21" s="80"/>
    </row>
    <row r="22" spans="1:14" x14ac:dyDescent="0.25">
      <c r="A22" s="80" t="s">
        <v>61</v>
      </c>
      <c r="B22" s="80"/>
      <c r="C22" s="7">
        <f>SUM(C15:C16)*-$B$5</f>
        <v>-1000000</v>
      </c>
      <c r="D22" s="80"/>
      <c r="E22" s="7">
        <f>SUM(E15:E16)*-$B$5</f>
        <v>-970000</v>
      </c>
      <c r="F22" s="80"/>
      <c r="G22" s="7">
        <f>SUM(G15:G16)*-$B$5</f>
        <v>-1095220</v>
      </c>
      <c r="H22" s="80"/>
      <c r="I22" s="7">
        <f>SUM(I15:I16)*-$B$5</f>
        <v>-1051411.2</v>
      </c>
      <c r="J22" s="74">
        <v>0.01</v>
      </c>
      <c r="K22" s="75" t="s">
        <v>50</v>
      </c>
      <c r="L22" s="80"/>
    </row>
    <row r="23" spans="1:14" x14ac:dyDescent="0.25">
      <c r="A23" s="80" t="s">
        <v>117</v>
      </c>
      <c r="B23" s="80"/>
      <c r="C23" s="80">
        <f>+C21+C22</f>
        <v>-3000000</v>
      </c>
      <c r="D23" s="80"/>
      <c r="E23" s="80">
        <f>+E21+E22</f>
        <v>13580000</v>
      </c>
      <c r="F23" s="80"/>
      <c r="G23" s="80">
        <f>+G21+G22</f>
        <v>-4380880</v>
      </c>
      <c r="H23" s="80"/>
      <c r="I23" s="80">
        <f>+I21+I22</f>
        <v>11565523.200000001</v>
      </c>
      <c r="J23" s="80"/>
      <c r="K23" s="80"/>
      <c r="L23" s="80"/>
    </row>
    <row r="24" spans="1:14" x14ac:dyDescent="0.25">
      <c r="A24" s="80" t="s">
        <v>118</v>
      </c>
      <c r="B24" s="80"/>
      <c r="C24" s="125">
        <v>0</v>
      </c>
      <c r="D24" s="80"/>
      <c r="E24" s="56">
        <f>+IF(C25&lt;0,C25,0)</f>
        <v>-3000000</v>
      </c>
      <c r="F24" s="80"/>
      <c r="G24" s="56">
        <f>+IF(E25&lt;0,E25,0)</f>
        <v>0</v>
      </c>
      <c r="H24" s="80"/>
      <c r="I24" s="56">
        <f>+IF(G25&lt;0,G25,0)</f>
        <v>-4380880</v>
      </c>
      <c r="J24" s="80"/>
      <c r="K24" s="80"/>
      <c r="L24" s="80"/>
      <c r="M24" s="77"/>
    </row>
    <row r="25" spans="1:14" x14ac:dyDescent="0.25">
      <c r="A25" s="80" t="s">
        <v>119</v>
      </c>
      <c r="B25" s="80"/>
      <c r="C25" s="80">
        <f>+SUM(C23:C24)</f>
        <v>-3000000</v>
      </c>
      <c r="D25" s="80"/>
      <c r="E25" s="80">
        <f>+SUM(E23:E24)</f>
        <v>10580000</v>
      </c>
      <c r="F25" s="80"/>
      <c r="G25" s="80">
        <f>+SUM(G23:G24)</f>
        <v>-4380880</v>
      </c>
      <c r="H25" s="80"/>
      <c r="I25" s="80">
        <f>+SUM(I23:I24)</f>
        <v>7184643.2000000011</v>
      </c>
      <c r="J25" s="80"/>
      <c r="K25" s="80"/>
      <c r="L25" s="80"/>
      <c r="M25" s="77"/>
    </row>
    <row r="26" spans="1:14" x14ac:dyDescent="0.25">
      <c r="A26" s="80"/>
      <c r="B26" s="80"/>
      <c r="C26" s="80"/>
      <c r="D26" s="80"/>
      <c r="E26" s="80"/>
      <c r="F26" s="80"/>
      <c r="G26" s="80"/>
      <c r="H26" s="80"/>
      <c r="I26" s="80"/>
      <c r="J26" s="80"/>
      <c r="K26" s="80"/>
      <c r="L26" s="80"/>
      <c r="M26" s="77"/>
    </row>
    <row r="27" spans="1:14" s="127" customFormat="1" x14ac:dyDescent="0.25">
      <c r="A27" s="126" t="s">
        <v>120</v>
      </c>
      <c r="B27" s="126"/>
      <c r="C27" s="126">
        <f>+MAX(0,MIN(-C24,C23))</f>
        <v>0</v>
      </c>
      <c r="D27" s="126"/>
      <c r="E27" s="126">
        <f>+MAX(0,MIN(-E24,E23))</f>
        <v>3000000</v>
      </c>
      <c r="F27" s="126"/>
      <c r="G27" s="126">
        <f>+MAX(0,MIN(-G24,G23))</f>
        <v>0</v>
      </c>
      <c r="H27" s="126"/>
      <c r="I27" s="126">
        <f>+MAX(0,MIN(-I24,I23))</f>
        <v>4380880</v>
      </c>
      <c r="J27" s="126"/>
      <c r="K27" s="126"/>
      <c r="L27" s="126"/>
    </row>
    <row r="28" spans="1:14" x14ac:dyDescent="0.25">
      <c r="A28" s="80"/>
      <c r="B28" s="80"/>
      <c r="C28" s="80"/>
      <c r="D28" s="80"/>
      <c r="E28" s="80"/>
      <c r="F28" s="80"/>
      <c r="G28" s="80"/>
      <c r="H28" s="80"/>
      <c r="I28" s="80"/>
      <c r="J28" s="80"/>
      <c r="K28" s="80"/>
      <c r="L28" s="80"/>
    </row>
    <row r="29" spans="1:14" x14ac:dyDescent="0.25">
      <c r="A29" s="52" t="s">
        <v>121</v>
      </c>
      <c r="B29" s="80"/>
      <c r="C29" s="80"/>
      <c r="D29" s="80"/>
      <c r="E29" s="80"/>
      <c r="F29" s="80"/>
      <c r="G29" s="80"/>
      <c r="H29" s="80"/>
      <c r="I29" s="80"/>
      <c r="J29" s="80"/>
      <c r="K29" s="80"/>
      <c r="L29" s="80"/>
    </row>
    <row r="30" spans="1:14" outlineLevel="1" x14ac:dyDescent="0.25">
      <c r="A30" s="80" t="s">
        <v>122</v>
      </c>
      <c r="B30" s="80"/>
      <c r="C30" s="80">
        <f>+SUM(C15:C16)*$B$6</f>
        <v>6000000</v>
      </c>
      <c r="D30" s="80"/>
      <c r="E30" s="80">
        <f>+SUM(E15:E16)*$B$6</f>
        <v>5820000</v>
      </c>
      <c r="F30" s="80"/>
      <c r="G30" s="80">
        <f>+SUM(G15:G16)*$B$6</f>
        <v>6571320</v>
      </c>
      <c r="H30" s="80"/>
      <c r="I30" s="80">
        <f>+SUM(I15:I16)*$B$6</f>
        <v>6308467.2000000002</v>
      </c>
      <c r="J30" s="80"/>
      <c r="K30" s="80"/>
      <c r="L30" s="80"/>
    </row>
    <row r="31" spans="1:14" x14ac:dyDescent="0.25">
      <c r="A31" s="80" t="s">
        <v>123</v>
      </c>
      <c r="B31" s="80"/>
      <c r="C31" s="56">
        <f>+MAX(0,MIN(C25,C30))</f>
        <v>0</v>
      </c>
      <c r="D31" s="80"/>
      <c r="E31" s="56">
        <f>+MAX(0,MIN(E25,E30))</f>
        <v>5820000</v>
      </c>
      <c r="F31" s="80"/>
      <c r="G31" s="56">
        <f>+MAX(0,MIN(G25,G30))</f>
        <v>0</v>
      </c>
      <c r="H31" s="80"/>
      <c r="I31" s="56">
        <f>+MAX(0,MIN(I25,I30))</f>
        <v>6308467.2000000002</v>
      </c>
      <c r="J31" s="74">
        <v>0.06</v>
      </c>
      <c r="K31" s="75" t="s">
        <v>51</v>
      </c>
      <c r="L31" s="80"/>
    </row>
    <row r="32" spans="1:14" x14ac:dyDescent="0.25">
      <c r="A32" s="80" t="s">
        <v>124</v>
      </c>
      <c r="B32" s="80"/>
      <c r="C32" s="80">
        <f>+MAX(0,C25-C31)</f>
        <v>0</v>
      </c>
      <c r="D32" s="80"/>
      <c r="E32" s="80">
        <f>+MAX(0,E25-E31)</f>
        <v>4760000</v>
      </c>
      <c r="F32" s="80"/>
      <c r="G32" s="80">
        <f>+MAX(0,G25-G31)</f>
        <v>0</v>
      </c>
      <c r="H32" s="80"/>
      <c r="I32" s="80">
        <f>+MAX(0,I25-I31)</f>
        <v>876176.00000000093</v>
      </c>
      <c r="J32" s="80"/>
      <c r="K32" s="80"/>
      <c r="L32" s="80"/>
    </row>
    <row r="33" spans="1:17" x14ac:dyDescent="0.25">
      <c r="A33" s="80"/>
      <c r="B33" s="80"/>
      <c r="C33" s="80"/>
      <c r="D33" s="80"/>
      <c r="E33" s="80"/>
      <c r="F33" s="80"/>
      <c r="G33" s="80"/>
      <c r="H33" s="80"/>
      <c r="I33" s="80"/>
      <c r="J33" s="80"/>
      <c r="K33" s="80"/>
      <c r="L33" s="80"/>
    </row>
    <row r="34" spans="1:17" x14ac:dyDescent="0.25">
      <c r="A34" s="52" t="s">
        <v>125</v>
      </c>
      <c r="B34" s="80"/>
      <c r="C34" s="80"/>
      <c r="D34" s="80"/>
      <c r="E34" s="80"/>
      <c r="F34" s="80"/>
      <c r="G34" s="80"/>
      <c r="H34" s="80"/>
      <c r="I34" s="80"/>
      <c r="J34" s="80"/>
      <c r="K34" s="80"/>
      <c r="L34" s="80"/>
    </row>
    <row r="35" spans="1:17" x14ac:dyDescent="0.25">
      <c r="A35" s="80" t="s">
        <v>126</v>
      </c>
      <c r="B35" s="80"/>
      <c r="C35" s="80">
        <f>+MIN(C32/2,$B$7/(1-$B$7*2)*C31)</f>
        <v>0</v>
      </c>
      <c r="D35" s="80"/>
      <c r="E35" s="80">
        <f>+MIN(E32/2,$B$7/(1-$B$7*2)*E31)</f>
        <v>727500</v>
      </c>
      <c r="F35" s="80"/>
      <c r="G35" s="80">
        <f>+MIN(G32/2,$B$7/(1-$B$7*2)*G31)</f>
        <v>0</v>
      </c>
      <c r="H35" s="80"/>
      <c r="I35" s="80">
        <f>+MIN(I32/2,$B$7/(1-$B$7*2)*I31)</f>
        <v>438088.00000000047</v>
      </c>
      <c r="J35" s="74">
        <v>0.5</v>
      </c>
      <c r="K35" s="75" t="s">
        <v>52</v>
      </c>
      <c r="L35" s="80"/>
    </row>
    <row r="36" spans="1:17" x14ac:dyDescent="0.25">
      <c r="A36" s="80" t="s">
        <v>59</v>
      </c>
      <c r="B36" s="80"/>
      <c r="C36" s="56">
        <f>+C35</f>
        <v>0</v>
      </c>
      <c r="D36" s="80"/>
      <c r="E36" s="56">
        <f>+E35</f>
        <v>727500</v>
      </c>
      <c r="F36" s="80"/>
      <c r="G36" s="56">
        <f>+G35</f>
        <v>0</v>
      </c>
      <c r="H36" s="80"/>
      <c r="I36" s="56">
        <f>+I35</f>
        <v>438088.00000000047</v>
      </c>
      <c r="J36" s="74">
        <v>0.5</v>
      </c>
      <c r="K36" s="75" t="s">
        <v>53</v>
      </c>
      <c r="L36" s="80"/>
    </row>
    <row r="37" spans="1:17" x14ac:dyDescent="0.25">
      <c r="A37" s="80" t="s">
        <v>48</v>
      </c>
      <c r="B37" s="80"/>
      <c r="C37" s="80">
        <f>+C32-C35-C36</f>
        <v>0</v>
      </c>
      <c r="D37" s="80"/>
      <c r="E37" s="80">
        <f>+E32-E35-E36</f>
        <v>3305000</v>
      </c>
      <c r="F37" s="80"/>
      <c r="G37" s="80">
        <f>+G32-G35-G36</f>
        <v>0</v>
      </c>
      <c r="H37" s="80"/>
      <c r="I37" s="80">
        <f>+I32-I35-I36</f>
        <v>0</v>
      </c>
      <c r="J37" s="80"/>
      <c r="K37" s="80"/>
      <c r="L37" s="80"/>
    </row>
    <row r="38" spans="1:17" x14ac:dyDescent="0.25">
      <c r="A38" s="80"/>
      <c r="B38" s="80"/>
      <c r="C38" s="80"/>
      <c r="D38" s="80"/>
      <c r="E38" s="80"/>
      <c r="F38" s="80"/>
      <c r="G38" s="80"/>
      <c r="H38" s="80"/>
      <c r="I38" s="80"/>
      <c r="J38" s="80"/>
      <c r="K38" s="80"/>
      <c r="L38" s="80"/>
    </row>
    <row r="39" spans="1:17" x14ac:dyDescent="0.25">
      <c r="A39" s="52" t="s">
        <v>127</v>
      </c>
      <c r="B39" s="80"/>
      <c r="C39" s="80"/>
      <c r="D39" s="80"/>
      <c r="E39" s="80"/>
      <c r="F39" s="80"/>
      <c r="G39" s="80"/>
      <c r="H39" s="80"/>
      <c r="I39" s="80"/>
      <c r="J39" s="80"/>
      <c r="K39" s="80"/>
      <c r="L39" s="80"/>
    </row>
    <row r="40" spans="1:17" x14ac:dyDescent="0.25">
      <c r="A40" s="80" t="s">
        <v>48</v>
      </c>
      <c r="B40" s="80"/>
      <c r="C40" s="80">
        <f>+C37</f>
        <v>0</v>
      </c>
      <c r="D40" s="80"/>
      <c r="E40" s="80">
        <f>+E37</f>
        <v>3305000</v>
      </c>
      <c r="F40" s="80"/>
      <c r="G40" s="80">
        <f>+G37</f>
        <v>0</v>
      </c>
      <c r="H40" s="80"/>
      <c r="I40" s="80">
        <f>+I37</f>
        <v>0</v>
      </c>
      <c r="J40" s="80"/>
      <c r="K40" s="80"/>
      <c r="L40" s="80"/>
    </row>
    <row r="41" spans="1:17" x14ac:dyDescent="0.25">
      <c r="A41" s="80" t="s">
        <v>128</v>
      </c>
      <c r="B41" s="80"/>
      <c r="C41" s="80">
        <f>+C40*90%</f>
        <v>0</v>
      </c>
      <c r="D41" s="80"/>
      <c r="E41" s="80">
        <f>+E40*90%</f>
        <v>2974500</v>
      </c>
      <c r="F41" s="80"/>
      <c r="G41" s="80">
        <f>+G40*90%</f>
        <v>0</v>
      </c>
      <c r="H41" s="80"/>
      <c r="I41" s="80">
        <f>+I40*90%</f>
        <v>0</v>
      </c>
      <c r="J41" s="74">
        <v>0.9</v>
      </c>
      <c r="K41" s="75" t="s">
        <v>52</v>
      </c>
      <c r="L41" s="80"/>
    </row>
    <row r="42" spans="1:17" x14ac:dyDescent="0.25">
      <c r="A42" s="80" t="s">
        <v>129</v>
      </c>
      <c r="B42" s="80"/>
      <c r="C42" s="80">
        <f>+C40-C41</f>
        <v>0</v>
      </c>
      <c r="D42" s="80"/>
      <c r="E42" s="80">
        <f>+E40-E41</f>
        <v>330500</v>
      </c>
      <c r="F42" s="80"/>
      <c r="G42" s="80">
        <f>+G40-G41</f>
        <v>0</v>
      </c>
      <c r="H42" s="80"/>
      <c r="I42" s="80">
        <f>+I40-I41</f>
        <v>0</v>
      </c>
      <c r="J42" s="74">
        <v>0.1</v>
      </c>
      <c r="K42" s="75" t="s">
        <v>54</v>
      </c>
      <c r="L42" s="80"/>
    </row>
    <row r="43" spans="1:17" outlineLevel="1" x14ac:dyDescent="0.25">
      <c r="A43" s="80"/>
      <c r="B43" s="80"/>
      <c r="C43" s="80"/>
      <c r="D43" s="80"/>
      <c r="E43" s="80"/>
      <c r="F43" s="80"/>
      <c r="G43" s="80"/>
      <c r="H43" s="80"/>
      <c r="I43" s="80"/>
      <c r="J43" s="80"/>
      <c r="K43" s="80"/>
      <c r="L43" s="80"/>
    </row>
    <row r="44" spans="1:17" outlineLevel="1" x14ac:dyDescent="0.25">
      <c r="A44" s="52" t="s">
        <v>130</v>
      </c>
      <c r="B44" s="80"/>
      <c r="C44" s="80"/>
      <c r="D44" s="80"/>
      <c r="E44" s="80"/>
      <c r="F44" s="80"/>
      <c r="G44" s="80"/>
      <c r="H44" s="80"/>
      <c r="I44" s="80"/>
      <c r="J44" s="80"/>
      <c r="K44" s="80"/>
      <c r="L44" s="80"/>
    </row>
    <row r="45" spans="1:17" outlineLevel="1" x14ac:dyDescent="0.25">
      <c r="A45" s="80" t="s">
        <v>131</v>
      </c>
      <c r="B45" s="80"/>
      <c r="C45" s="80">
        <f>-C24</f>
        <v>0</v>
      </c>
      <c r="D45" s="80"/>
      <c r="E45" s="80">
        <f>-E24</f>
        <v>3000000</v>
      </c>
      <c r="F45" s="80"/>
      <c r="G45" s="80">
        <f>-G24</f>
        <v>0</v>
      </c>
      <c r="H45" s="80"/>
      <c r="I45" s="80">
        <f>-I24</f>
        <v>4380880</v>
      </c>
      <c r="J45" s="128"/>
      <c r="K45" s="80"/>
      <c r="L45" s="80"/>
    </row>
    <row r="46" spans="1:17" outlineLevel="1" x14ac:dyDescent="0.25">
      <c r="A46" s="80" t="s">
        <v>60</v>
      </c>
      <c r="B46" s="80"/>
      <c r="C46" s="80">
        <f>+C31</f>
        <v>0</v>
      </c>
      <c r="D46" s="80"/>
      <c r="E46" s="80">
        <f>+E31</f>
        <v>5820000</v>
      </c>
      <c r="F46" s="80"/>
      <c r="G46" s="80">
        <f>+G31</f>
        <v>0</v>
      </c>
      <c r="H46" s="80"/>
      <c r="I46" s="80">
        <f>+I31</f>
        <v>6308467.2000000002</v>
      </c>
      <c r="J46" s="128"/>
      <c r="K46" s="80"/>
      <c r="L46" s="80"/>
      <c r="Q46" s="129"/>
    </row>
    <row r="47" spans="1:17" outlineLevel="1" x14ac:dyDescent="0.25">
      <c r="A47" s="130" t="s">
        <v>59</v>
      </c>
      <c r="B47" s="80"/>
      <c r="C47" s="80">
        <f>+C36</f>
        <v>0</v>
      </c>
      <c r="D47" s="80"/>
      <c r="E47" s="80">
        <f>+E36</f>
        <v>727500</v>
      </c>
      <c r="F47" s="80"/>
      <c r="G47" s="80">
        <f>+G36</f>
        <v>0</v>
      </c>
      <c r="H47" s="80"/>
      <c r="I47" s="80">
        <f>+I36</f>
        <v>438088.00000000047</v>
      </c>
      <c r="J47" s="128"/>
      <c r="K47" s="80"/>
      <c r="L47" s="80"/>
    </row>
    <row r="48" spans="1:17" outlineLevel="1" x14ac:dyDescent="0.25">
      <c r="A48" s="130" t="s">
        <v>128</v>
      </c>
      <c r="B48" s="80"/>
      <c r="C48" s="56">
        <f>+C41</f>
        <v>0</v>
      </c>
      <c r="D48" s="80"/>
      <c r="E48" s="56">
        <f>+E41</f>
        <v>2974500</v>
      </c>
      <c r="F48" s="80"/>
      <c r="G48" s="56">
        <f>+G41</f>
        <v>0</v>
      </c>
      <c r="H48" s="80"/>
      <c r="I48" s="56">
        <f>+I41</f>
        <v>0</v>
      </c>
      <c r="J48" s="128"/>
      <c r="K48" s="80"/>
      <c r="L48" s="80"/>
    </row>
    <row r="49" spans="1:12" outlineLevel="1" x14ac:dyDescent="0.25">
      <c r="A49" s="80" t="s">
        <v>132</v>
      </c>
      <c r="B49" s="80"/>
      <c r="C49" s="80">
        <f>+SUM(C45:C48)</f>
        <v>0</v>
      </c>
      <c r="D49" s="80"/>
      <c r="E49" s="80">
        <f>+SUM(E45:E48)</f>
        <v>12522000</v>
      </c>
      <c r="F49" s="80"/>
      <c r="G49" s="80">
        <f>+SUM(G45:G48)</f>
        <v>0</v>
      </c>
      <c r="H49" s="80"/>
      <c r="I49" s="80">
        <f>+SUM(I45:I48)</f>
        <v>11127435.199999999</v>
      </c>
      <c r="J49" s="128"/>
      <c r="K49" s="80"/>
      <c r="L49" s="80"/>
    </row>
    <row r="50" spans="1:12" outlineLevel="1" x14ac:dyDescent="0.25">
      <c r="A50" s="131"/>
      <c r="B50" s="80"/>
      <c r="C50" s="80"/>
      <c r="D50" s="80"/>
      <c r="E50" s="80"/>
      <c r="F50" s="80"/>
      <c r="G50" s="80"/>
      <c r="H50" s="80"/>
      <c r="I50" s="80"/>
      <c r="J50" s="128"/>
      <c r="K50" s="80"/>
      <c r="L50" s="80"/>
    </row>
    <row r="51" spans="1:12" outlineLevel="1" x14ac:dyDescent="0.25">
      <c r="A51" s="52" t="s">
        <v>133</v>
      </c>
      <c r="B51" s="80"/>
      <c r="C51" s="80"/>
      <c r="D51" s="80"/>
      <c r="E51" s="80"/>
      <c r="F51" s="80"/>
      <c r="G51" s="80"/>
      <c r="H51" s="80"/>
      <c r="I51" s="80"/>
      <c r="J51" s="128"/>
      <c r="K51" s="80"/>
      <c r="L51" s="80"/>
    </row>
    <row r="52" spans="1:12" outlineLevel="1" x14ac:dyDescent="0.25">
      <c r="A52" s="130" t="s">
        <v>126</v>
      </c>
      <c r="B52" s="80"/>
      <c r="C52" s="80">
        <f>+C35</f>
        <v>0</v>
      </c>
      <c r="D52" s="80"/>
      <c r="E52" s="80">
        <f>+E35</f>
        <v>727500</v>
      </c>
      <c r="F52" s="80"/>
      <c r="G52" s="80">
        <f>+G35</f>
        <v>0</v>
      </c>
      <c r="H52" s="80"/>
      <c r="I52" s="80">
        <f>+I35</f>
        <v>438088.00000000047</v>
      </c>
      <c r="J52" s="80"/>
      <c r="K52" s="80"/>
      <c r="L52" s="80"/>
    </row>
    <row r="53" spans="1:12" outlineLevel="1" x14ac:dyDescent="0.25">
      <c r="A53" s="130" t="s">
        <v>129</v>
      </c>
      <c r="B53" s="80"/>
      <c r="C53" s="56">
        <f>+C42</f>
        <v>0</v>
      </c>
      <c r="D53" s="80"/>
      <c r="E53" s="56">
        <f>+E42</f>
        <v>330500</v>
      </c>
      <c r="F53" s="80"/>
      <c r="G53" s="56">
        <f>+G42</f>
        <v>0</v>
      </c>
      <c r="H53" s="80"/>
      <c r="I53" s="56">
        <f>+I42</f>
        <v>0</v>
      </c>
      <c r="J53" s="80"/>
      <c r="K53" s="80"/>
      <c r="L53" s="80"/>
    </row>
    <row r="54" spans="1:12" outlineLevel="1" x14ac:dyDescent="0.25">
      <c r="A54" s="80" t="s">
        <v>134</v>
      </c>
      <c r="B54" s="80"/>
      <c r="C54" s="80">
        <f>+SUM(C52:C53)</f>
        <v>0</v>
      </c>
      <c r="D54" s="80"/>
      <c r="E54" s="80">
        <f>+SUM(E52:E53)</f>
        <v>1058000</v>
      </c>
      <c r="F54" s="80"/>
      <c r="G54" s="80">
        <f>+SUM(G52:G53)</f>
        <v>0</v>
      </c>
      <c r="H54" s="80"/>
      <c r="I54" s="80">
        <f>+SUM(I52:I53)</f>
        <v>438088.00000000047</v>
      </c>
      <c r="J54" s="80"/>
      <c r="K54" s="80"/>
      <c r="L54" s="80"/>
    </row>
    <row r="55" spans="1:12" x14ac:dyDescent="0.25">
      <c r="A55" s="80"/>
      <c r="B55" s="80"/>
      <c r="C55" s="80"/>
      <c r="D55" s="80"/>
      <c r="E55" s="80"/>
      <c r="F55" s="80"/>
      <c r="G55" s="80"/>
      <c r="H55" s="80"/>
      <c r="I55" s="80"/>
      <c r="J55" s="80"/>
      <c r="K55" s="80"/>
      <c r="L55" s="80"/>
    </row>
    <row r="56" spans="1:12" x14ac:dyDescent="0.25">
      <c r="A56" s="80" t="s">
        <v>58</v>
      </c>
      <c r="B56" s="80"/>
      <c r="C56" s="132">
        <f>+C54/C23</f>
        <v>0</v>
      </c>
      <c r="D56" s="132"/>
      <c r="E56" s="133">
        <f>+E54/E23</f>
        <v>7.7908689248895435E-2</v>
      </c>
      <c r="F56" s="132"/>
      <c r="G56" s="132">
        <f>+G54/G23</f>
        <v>0</v>
      </c>
      <c r="H56" s="132"/>
      <c r="I56" s="133">
        <f>+I54/I23</f>
        <v>3.7878787878787915E-2</v>
      </c>
      <c r="J56" s="80"/>
      <c r="K56" s="80"/>
      <c r="L56" s="80"/>
    </row>
    <row r="57" spans="1:12" x14ac:dyDescent="0.25">
      <c r="A57" s="80"/>
      <c r="B57" s="80"/>
      <c r="C57" s="80"/>
      <c r="D57" s="80"/>
      <c r="E57" s="80"/>
      <c r="F57" s="80"/>
      <c r="G57" s="80"/>
      <c r="H57" s="80"/>
      <c r="I57" s="80"/>
      <c r="J57" s="80"/>
      <c r="K57" s="80"/>
      <c r="L57" s="80"/>
    </row>
    <row r="58" spans="1:12" ht="30" x14ac:dyDescent="0.25">
      <c r="A58" s="78" t="s">
        <v>39</v>
      </c>
      <c r="B58" s="80"/>
      <c r="C58" s="80"/>
      <c r="D58" s="80"/>
      <c r="E58" s="80"/>
      <c r="F58" s="80"/>
      <c r="G58" s="80"/>
      <c r="H58" s="80"/>
      <c r="I58" s="80"/>
      <c r="J58" s="80"/>
      <c r="K58" s="80"/>
      <c r="L58" s="80"/>
    </row>
    <row r="59" spans="1:12" x14ac:dyDescent="0.25">
      <c r="A59" s="55"/>
      <c r="B59" s="80"/>
      <c r="C59" s="80"/>
      <c r="D59" s="80"/>
      <c r="E59" s="80"/>
      <c r="F59" s="80"/>
      <c r="G59" s="80"/>
      <c r="H59" s="80"/>
      <c r="I59" s="80"/>
      <c r="J59" s="80"/>
      <c r="K59" s="80"/>
      <c r="L59" s="80"/>
    </row>
    <row r="60" spans="1:12" ht="93.75" customHeight="1" x14ac:dyDescent="0.25">
      <c r="A60" s="79" t="s">
        <v>56</v>
      </c>
      <c r="B60" s="80"/>
      <c r="C60" s="80"/>
      <c r="D60" s="80"/>
      <c r="E60" s="80"/>
      <c r="F60" s="80"/>
      <c r="G60" s="80"/>
      <c r="H60" s="80"/>
      <c r="I60" s="80"/>
      <c r="J60" s="80"/>
      <c r="K60" s="80"/>
      <c r="L60" s="80"/>
    </row>
    <row r="61" spans="1:12" x14ac:dyDescent="0.25">
      <c r="I61" s="13"/>
    </row>
    <row r="62" spans="1:12" ht="141.75" customHeight="1" x14ac:dyDescent="0.25">
      <c r="A62" s="79" t="s">
        <v>57</v>
      </c>
      <c r="E62" s="15"/>
      <c r="I62" s="14"/>
      <c r="L62" s="14"/>
    </row>
    <row r="63" spans="1:12" x14ac:dyDescent="0.25">
      <c r="E63" s="15" t="s">
        <v>15</v>
      </c>
    </row>
    <row r="64" spans="1:12" x14ac:dyDescent="0.25">
      <c r="E64" s="12"/>
    </row>
    <row r="65" spans="7:9" x14ac:dyDescent="0.25">
      <c r="G65" s="77"/>
      <c r="I65" s="134"/>
    </row>
    <row r="66" spans="7:9" x14ac:dyDescent="0.25">
      <c r="I66" s="77"/>
    </row>
    <row r="67" spans="7:9" x14ac:dyDescent="0.25">
      <c r="I67" s="77"/>
    </row>
    <row r="68" spans="7:9" x14ac:dyDescent="0.25">
      <c r="I68" s="77"/>
    </row>
    <row r="70" spans="7:9" x14ac:dyDescent="0.25">
      <c r="I70" s="134"/>
    </row>
    <row r="71" spans="7:9" x14ac:dyDescent="0.25">
      <c r="I71" s="134"/>
    </row>
  </sheetData>
  <pageMargins left="0.7" right="0.7" top="0.75" bottom="0.75" header="0.3" footer="0.3"/>
  <pageSetup scale="4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zoomScale="85" zoomScaleNormal="85" workbookViewId="0">
      <selection activeCell="A41" sqref="A41"/>
    </sheetView>
  </sheetViews>
  <sheetFormatPr defaultRowHeight="15" x14ac:dyDescent="0.25"/>
  <cols>
    <col min="1" max="1" width="43.7109375" style="72" customWidth="1"/>
    <col min="2" max="2" width="15" style="72" bestFit="1" customWidth="1"/>
    <col min="3" max="3" width="0.85546875" style="72" customWidth="1"/>
    <col min="4" max="4" width="11.85546875" style="72" bestFit="1" customWidth="1"/>
    <col min="5" max="5" width="0.85546875" style="72" customWidth="1"/>
    <col min="6" max="6" width="11.85546875" style="72" bestFit="1" customWidth="1"/>
    <col min="7" max="7" width="0.85546875" style="72" customWidth="1"/>
    <col min="8" max="8" width="13.42578125" style="72" bestFit="1" customWidth="1"/>
    <col min="9" max="9" width="8.140625" style="72" bestFit="1" customWidth="1"/>
    <col min="10" max="12" width="9.140625" style="72"/>
    <col min="13" max="13" width="9.85546875" style="72" bestFit="1" customWidth="1"/>
    <col min="14" max="14" width="11.5703125" style="72" bestFit="1" customWidth="1"/>
    <col min="15" max="15" width="10.5703125" style="72" bestFit="1" customWidth="1"/>
    <col min="16" max="16384" width="9.140625" style="72"/>
  </cols>
  <sheetData>
    <row r="1" spans="1:11" ht="15.75" x14ac:dyDescent="0.25">
      <c r="A1" s="50" t="s">
        <v>38</v>
      </c>
      <c r="B1" s="80"/>
      <c r="C1" s="80"/>
      <c r="D1" s="80"/>
      <c r="E1" s="80"/>
      <c r="F1" s="80"/>
      <c r="G1" s="80"/>
      <c r="H1" s="80"/>
      <c r="I1" s="80"/>
      <c r="J1" s="80"/>
      <c r="K1" s="80"/>
    </row>
    <row r="2" spans="1:11" x14ac:dyDescent="0.25">
      <c r="A2" s="51" t="s">
        <v>6</v>
      </c>
      <c r="B2" s="80"/>
      <c r="C2" s="80"/>
      <c r="D2" s="80"/>
      <c r="E2" s="80"/>
      <c r="F2" s="80"/>
      <c r="G2" s="80"/>
      <c r="H2" s="80"/>
      <c r="I2" s="80"/>
      <c r="J2" s="80"/>
      <c r="K2" s="80"/>
    </row>
    <row r="3" spans="1:11" x14ac:dyDescent="0.25">
      <c r="A3" s="80"/>
      <c r="B3" s="80"/>
      <c r="C3" s="80"/>
      <c r="D3" s="80"/>
      <c r="E3" s="80"/>
      <c r="F3" s="80"/>
      <c r="G3" s="80"/>
      <c r="H3" s="80"/>
      <c r="I3" s="80"/>
      <c r="J3" s="80"/>
      <c r="K3" s="80"/>
    </row>
    <row r="4" spans="1:11" x14ac:dyDescent="0.25">
      <c r="A4" s="16" t="s">
        <v>24</v>
      </c>
      <c r="B4" s="74">
        <v>-0.02</v>
      </c>
      <c r="C4" s="80"/>
      <c r="D4" s="74">
        <v>0.15</v>
      </c>
      <c r="E4" s="80"/>
      <c r="F4" s="74">
        <v>-0.03</v>
      </c>
      <c r="G4" s="80"/>
      <c r="H4" s="74">
        <v>0.15</v>
      </c>
      <c r="I4" s="80"/>
      <c r="J4" s="80"/>
      <c r="K4" s="80"/>
    </row>
    <row r="5" spans="1:11" x14ac:dyDescent="0.25">
      <c r="A5" s="80" t="s">
        <v>15</v>
      </c>
      <c r="B5" s="107" t="s">
        <v>0</v>
      </c>
      <c r="C5" s="80"/>
      <c r="D5" s="107" t="s">
        <v>1</v>
      </c>
      <c r="E5" s="80"/>
      <c r="F5" s="107" t="s">
        <v>2</v>
      </c>
      <c r="G5" s="80"/>
      <c r="H5" s="108" t="s">
        <v>37</v>
      </c>
      <c r="I5" s="80"/>
      <c r="J5" s="80"/>
      <c r="K5" s="80"/>
    </row>
    <row r="6" spans="1:11" x14ac:dyDescent="0.25">
      <c r="A6" s="80" t="s">
        <v>4</v>
      </c>
      <c r="B6" s="109">
        <v>0</v>
      </c>
      <c r="C6" s="80"/>
      <c r="D6" s="109">
        <f>B29</f>
        <v>97000000</v>
      </c>
      <c r="E6" s="80"/>
      <c r="F6" s="109">
        <f>D28</f>
        <v>109522000</v>
      </c>
      <c r="G6" s="80"/>
      <c r="H6" s="109">
        <f>F28</f>
        <v>105141120</v>
      </c>
      <c r="I6" s="80"/>
      <c r="J6" s="80"/>
      <c r="K6" s="80"/>
    </row>
    <row r="7" spans="1:11" x14ac:dyDescent="0.25">
      <c r="A7" s="80" t="s">
        <v>40</v>
      </c>
      <c r="B7" s="8">
        <v>100000000</v>
      </c>
      <c r="C7" s="80"/>
      <c r="D7" s="110">
        <v>0</v>
      </c>
      <c r="E7" s="8"/>
      <c r="F7" s="110">
        <v>0</v>
      </c>
      <c r="G7" s="8"/>
      <c r="H7" s="110">
        <v>0</v>
      </c>
      <c r="I7" s="80"/>
      <c r="J7" s="80"/>
      <c r="K7" s="80"/>
    </row>
    <row r="8" spans="1:11" x14ac:dyDescent="0.25">
      <c r="A8" s="80" t="s">
        <v>3</v>
      </c>
      <c r="B8" s="8">
        <f>B7*B4</f>
        <v>-2000000</v>
      </c>
      <c r="C8" s="80"/>
      <c r="D8" s="8">
        <f>D6*D4</f>
        <v>14550000</v>
      </c>
      <c r="E8" s="8"/>
      <c r="F8" s="8">
        <f>F6*F4</f>
        <v>-3285660</v>
      </c>
      <c r="G8" s="8"/>
      <c r="H8" s="8">
        <f>H6*H4</f>
        <v>15771168</v>
      </c>
      <c r="I8" s="80"/>
      <c r="J8" s="80"/>
      <c r="K8" s="80"/>
    </row>
    <row r="9" spans="1:11" x14ac:dyDescent="0.25">
      <c r="A9" s="80" t="s">
        <v>61</v>
      </c>
      <c r="B9" s="7">
        <f>B7*-$I$9</f>
        <v>-1000000</v>
      </c>
      <c r="C9" s="80"/>
      <c r="D9" s="7">
        <f>D6*-$I$9</f>
        <v>-970000</v>
      </c>
      <c r="E9" s="8"/>
      <c r="F9" s="7">
        <f>F6*-$I$9</f>
        <v>-1095220</v>
      </c>
      <c r="G9" s="8"/>
      <c r="H9" s="7">
        <f>H6*-$I$9</f>
        <v>-1051411.2</v>
      </c>
      <c r="I9" s="74">
        <v>0.01</v>
      </c>
      <c r="J9" s="75" t="s">
        <v>50</v>
      </c>
      <c r="K9" s="80"/>
    </row>
    <row r="10" spans="1:11" x14ac:dyDescent="0.25">
      <c r="A10" s="80"/>
      <c r="B10" s="80"/>
      <c r="C10" s="80"/>
      <c r="D10" s="8"/>
      <c r="E10" s="8"/>
      <c r="F10" s="8"/>
      <c r="G10" s="8"/>
      <c r="H10" s="8"/>
      <c r="I10" s="80"/>
      <c r="J10" s="80"/>
      <c r="K10" s="80"/>
    </row>
    <row r="11" spans="1:11" x14ac:dyDescent="0.25">
      <c r="A11" s="80" t="s">
        <v>5</v>
      </c>
      <c r="B11" s="7">
        <f>SUM(B8:B9)</f>
        <v>-3000000</v>
      </c>
      <c r="C11" s="80"/>
      <c r="D11" s="7">
        <f>SUM(D8:D9)</f>
        <v>13580000</v>
      </c>
      <c r="E11" s="8"/>
      <c r="F11" s="7">
        <f>SUM(F8:F9)</f>
        <v>-4380880</v>
      </c>
      <c r="G11" s="8"/>
      <c r="H11" s="7">
        <f>SUM(H8:H9)</f>
        <v>14719756.800000001</v>
      </c>
      <c r="I11" s="80"/>
      <c r="J11" s="80"/>
      <c r="K11" s="80"/>
    </row>
    <row r="12" spans="1:11" x14ac:dyDescent="0.25">
      <c r="A12" s="80"/>
      <c r="B12" s="80"/>
      <c r="C12" s="80"/>
      <c r="D12" s="8"/>
      <c r="E12" s="8"/>
      <c r="F12" s="8"/>
      <c r="G12" s="8"/>
      <c r="H12" s="8"/>
      <c r="I12" s="80"/>
      <c r="J12" s="80"/>
      <c r="K12" s="80"/>
    </row>
    <row r="13" spans="1:11" x14ac:dyDescent="0.25">
      <c r="A13" s="80" t="s">
        <v>60</v>
      </c>
      <c r="B13" s="8">
        <f>IF(B$11&gt;1,IF((B$11&gt;(B$6+B$7)*$I$13),(B$7+B$6)*$I$13,0),0)</f>
        <v>0</v>
      </c>
      <c r="C13" s="80"/>
      <c r="D13" s="8">
        <f>IF(D$11&gt;1,IF((D$11&gt;(D$6+D$7)*$I$13),(D$7+D$6)*$I$13,0),0)</f>
        <v>5820000</v>
      </c>
      <c r="E13" s="8"/>
      <c r="F13" s="8">
        <f>IF(F$11&gt;1,IF((F$11&gt;=(F$6+F$7)*$I$13),(F$7+F$6)*$I$13,0),0)</f>
        <v>0</v>
      </c>
      <c r="G13" s="8"/>
      <c r="H13" s="8">
        <f>IF(H$11&gt;1,IF((H$11&gt;=(H$6+H$7)*$I$13),(H$7+H$6)*$I$13,0),0)</f>
        <v>6308467.2000000002</v>
      </c>
      <c r="I13" s="74">
        <v>0.06</v>
      </c>
      <c r="J13" s="75" t="s">
        <v>51</v>
      </c>
      <c r="K13" s="80"/>
    </row>
    <row r="14" spans="1:11" x14ac:dyDescent="0.25">
      <c r="A14" s="80" t="s">
        <v>85</v>
      </c>
      <c r="B14" s="8">
        <f>IF(B13&gt;1,B11-B13,0)</f>
        <v>0</v>
      </c>
      <c r="C14" s="110"/>
      <c r="D14" s="8">
        <f>IF(D13&gt;1,D11-D13,0)</f>
        <v>7760000</v>
      </c>
      <c r="E14" s="110"/>
      <c r="F14" s="8">
        <f>IF(F13&gt;1,F11-F13,0)</f>
        <v>0</v>
      </c>
      <c r="G14" s="110"/>
      <c r="H14" s="8">
        <f>IF(H13&gt;1,H11-H13,0)</f>
        <v>8411289.6000000015</v>
      </c>
      <c r="I14" s="74"/>
      <c r="J14" s="80"/>
      <c r="K14" s="80"/>
    </row>
    <row r="15" spans="1:11" x14ac:dyDescent="0.25">
      <c r="A15" s="80" t="s">
        <v>86</v>
      </c>
      <c r="B15" s="8">
        <v>0</v>
      </c>
      <c r="C15" s="110"/>
      <c r="D15" s="8">
        <f>IF(B31&lt;0,-B31,0)</f>
        <v>3000000</v>
      </c>
      <c r="E15" s="110"/>
      <c r="F15" s="8">
        <f>IF(MIN(D26, D31)&gt;0, 0, -MIN(D26, D31))</f>
        <v>0</v>
      </c>
      <c r="G15" s="110"/>
      <c r="H15" s="8">
        <f>IF(MIN(F26, F31, F26+D26)&gt;0, 0, -MIN(F26, F31, F26+D26))</f>
        <v>4380880</v>
      </c>
      <c r="I15" s="74"/>
      <c r="J15" s="80"/>
      <c r="K15" s="80"/>
    </row>
    <row r="16" spans="1:11" x14ac:dyDescent="0.25">
      <c r="A16" s="80" t="s">
        <v>87</v>
      </c>
      <c r="B16" s="8">
        <f>+B14-B15</f>
        <v>0</v>
      </c>
      <c r="C16" s="110"/>
      <c r="D16" s="8">
        <f>+D14-D15</f>
        <v>4760000</v>
      </c>
      <c r="E16" s="110"/>
      <c r="F16" s="8">
        <f>+F14-F15</f>
        <v>0</v>
      </c>
      <c r="G16" s="110"/>
      <c r="H16" s="8">
        <f>+H14-H15</f>
        <v>4030409.6000000015</v>
      </c>
      <c r="I16" s="74"/>
      <c r="J16" s="80"/>
      <c r="K16" s="80"/>
    </row>
    <row r="17" spans="1:15" x14ac:dyDescent="0.25">
      <c r="A17" s="80"/>
      <c r="B17" s="80"/>
      <c r="C17" s="80"/>
      <c r="D17" s="8"/>
      <c r="E17" s="8"/>
      <c r="F17" s="8"/>
      <c r="G17" s="8"/>
      <c r="H17" s="8"/>
      <c r="I17" s="74"/>
      <c r="J17" s="80"/>
      <c r="K17" s="80"/>
    </row>
    <row r="18" spans="1:15" x14ac:dyDescent="0.25">
      <c r="A18" s="111" t="s">
        <v>88</v>
      </c>
      <c r="B18" s="112">
        <f>IF(AND(B$14&gt;1,B$14&gt;B$15,B$14,(B$13/0.8)-B$13),MIN(B$13*0.25,B$16),B$14)</f>
        <v>0</v>
      </c>
      <c r="C18" s="80"/>
      <c r="D18" s="112">
        <f>IF(AND(D$14&gt;1,D$14&gt;D$15,D$14,(D$13/0.8)-D$13),MIN(D$13*0.25,D$16),D$14)</f>
        <v>1455000</v>
      </c>
      <c r="E18" s="8"/>
      <c r="F18" s="112">
        <f>IF(AND(F$14&gt;1,F$14&gt;F$15,F$14,(F$13/0.8)-F$13),MIN(F$13*0.25,F$16),F$14)</f>
        <v>0</v>
      </c>
      <c r="G18" s="8"/>
      <c r="H18" s="112">
        <f>IF(AND(H$14&gt;1,H$14&gt;H$15,H$14,(H$13/0.8)-H$13),MIN(H$13*0.25,H$16),H$14)</f>
        <v>1577116.8</v>
      </c>
      <c r="I18" s="74"/>
      <c r="J18" s="80"/>
      <c r="K18" s="80"/>
      <c r="M18" s="12"/>
    </row>
    <row r="19" spans="1:15" x14ac:dyDescent="0.25">
      <c r="A19" s="80" t="s">
        <v>89</v>
      </c>
      <c r="B19" s="8">
        <f>IF(B$11-B$13&gt;=B$15,B18*$I$19+B15,B18*1)</f>
        <v>0</v>
      </c>
      <c r="C19" s="80"/>
      <c r="D19" s="8">
        <f>IF(D$14&gt;=D$15,D18*$I$19+D15,D14*1)</f>
        <v>3727500</v>
      </c>
      <c r="E19" s="8"/>
      <c r="F19" s="8">
        <f>IF(F$14&gt;=F$15,F18*$I$19+F15,F14*1)</f>
        <v>0</v>
      </c>
      <c r="G19" s="8"/>
      <c r="H19" s="8">
        <f>IF(H$14&gt;=H$15,H18*$I$19+H15,H14*1)</f>
        <v>5169438.4000000004</v>
      </c>
      <c r="I19" s="74">
        <v>0.5</v>
      </c>
      <c r="J19" s="75" t="s">
        <v>52</v>
      </c>
      <c r="K19" s="80"/>
      <c r="M19" s="12"/>
    </row>
    <row r="20" spans="1:15" x14ac:dyDescent="0.25">
      <c r="A20" s="80" t="s">
        <v>90</v>
      </c>
      <c r="B20" s="8">
        <f>IF(B$11-B$13&gt;=B$15,B18*$I$20,0)</f>
        <v>0</v>
      </c>
      <c r="C20" s="8"/>
      <c r="D20" s="8">
        <f>IF(D$14&gt;=D$15,D18*$I$20,0)</f>
        <v>727500</v>
      </c>
      <c r="E20" s="8"/>
      <c r="F20" s="8">
        <f>IF(F$11-F$13&gt;=F$15,F18*$I$20,0)</f>
        <v>0</v>
      </c>
      <c r="G20" s="8"/>
      <c r="H20" s="8">
        <f>IF(H$11-H$13&gt;=H$15,H18*$I$20,0)</f>
        <v>788558.4</v>
      </c>
      <c r="I20" s="74">
        <v>0.5</v>
      </c>
      <c r="J20" s="75" t="s">
        <v>53</v>
      </c>
      <c r="K20" s="80"/>
      <c r="M20" s="12"/>
      <c r="N20" s="113"/>
      <c r="O20" s="77"/>
    </row>
    <row r="21" spans="1:15" x14ac:dyDescent="0.25">
      <c r="A21" s="80"/>
      <c r="B21" s="80"/>
      <c r="C21" s="80"/>
      <c r="D21" s="8"/>
      <c r="E21" s="8"/>
      <c r="F21" s="8"/>
      <c r="G21" s="8"/>
      <c r="H21" s="8"/>
      <c r="I21" s="80"/>
      <c r="J21" s="80"/>
      <c r="K21" s="80"/>
      <c r="M21" s="114"/>
      <c r="N21" s="115"/>
    </row>
    <row r="22" spans="1:15" x14ac:dyDescent="0.25">
      <c r="A22" s="111" t="s">
        <v>91</v>
      </c>
      <c r="B22" s="112">
        <f>IF(AND(B$11-B$13&gt;B$15,-B$13-B$15+B$11-B$18&gt;0),IF(B$18&lt;=0,0,-B$13-B$15+B$11-B$18),0)</f>
        <v>0</v>
      </c>
      <c r="C22" s="80"/>
      <c r="D22" s="112">
        <f>IF(AND(D$11-D$13&gt;D$15,-D$13-D$15+D$11-D$18&gt;0),IF(D$18&lt;=0,0,-D$13-D$15+D$11-D$18),0)</f>
        <v>3305000</v>
      </c>
      <c r="E22" s="8"/>
      <c r="F22" s="112">
        <f>IF(AND(F$11-F$13&gt;F$15,-F$13-F$15+F$11-F$18&gt;0),IF(F$18&lt;=0,0,-F$13-F$15+F$11-F$18),0)</f>
        <v>0</v>
      </c>
      <c r="G22" s="8"/>
      <c r="H22" s="112">
        <f>IF(AND(H$11-H$13&gt;H$15,-H$13-H$15+H$11-H$18&gt;0),IF(H$18&lt;=0,0,-H$13-H$15+H$11-H$18),0)</f>
        <v>2453292.8000000017</v>
      </c>
      <c r="I22" s="80"/>
      <c r="J22" s="80"/>
      <c r="K22" s="80"/>
    </row>
    <row r="23" spans="1:15" x14ac:dyDescent="0.25">
      <c r="A23" s="80" t="s">
        <v>92</v>
      </c>
      <c r="B23" s="8">
        <f>B22*$I$23</f>
        <v>0</v>
      </c>
      <c r="C23" s="8"/>
      <c r="D23" s="8">
        <f>D22*$I$23</f>
        <v>2974500</v>
      </c>
      <c r="E23" s="8"/>
      <c r="F23" s="8">
        <f>F22*$I$23</f>
        <v>0</v>
      </c>
      <c r="G23" s="8"/>
      <c r="H23" s="8">
        <f>H22*$I$23</f>
        <v>2207963.5200000014</v>
      </c>
      <c r="I23" s="74">
        <v>0.9</v>
      </c>
      <c r="J23" s="75" t="s">
        <v>52</v>
      </c>
      <c r="K23" s="80"/>
    </row>
    <row r="24" spans="1:15" x14ac:dyDescent="0.25">
      <c r="A24" s="80" t="s">
        <v>93</v>
      </c>
      <c r="B24" s="8">
        <f>B22*$I$24</f>
        <v>0</v>
      </c>
      <c r="C24" s="8"/>
      <c r="D24" s="8">
        <f>D22*$I$24</f>
        <v>330500</v>
      </c>
      <c r="E24" s="8"/>
      <c r="F24" s="8">
        <f>F22*$I$24</f>
        <v>0</v>
      </c>
      <c r="G24" s="8"/>
      <c r="H24" s="8">
        <f>H22*$I$24</f>
        <v>245329.28000000017</v>
      </c>
      <c r="I24" s="74">
        <v>0.1</v>
      </c>
      <c r="J24" s="75" t="s">
        <v>54</v>
      </c>
      <c r="K24" s="80"/>
    </row>
    <row r="25" spans="1:15" x14ac:dyDescent="0.25">
      <c r="A25" s="80"/>
      <c r="B25" s="80"/>
      <c r="C25" s="80"/>
      <c r="D25" s="8"/>
      <c r="E25" s="8"/>
      <c r="F25" s="8"/>
      <c r="G25" s="8"/>
      <c r="H25" s="8"/>
      <c r="I25" s="80"/>
      <c r="J25" s="80"/>
      <c r="K25" s="80"/>
    </row>
    <row r="26" spans="1:15" x14ac:dyDescent="0.25">
      <c r="A26" s="80" t="s">
        <v>94</v>
      </c>
      <c r="B26" s="8">
        <f>B11</f>
        <v>-3000000</v>
      </c>
      <c r="C26" s="8"/>
      <c r="D26" s="8">
        <f>D11</f>
        <v>13580000</v>
      </c>
      <c r="E26" s="8"/>
      <c r="F26" s="8">
        <f>F11</f>
        <v>-4380880</v>
      </c>
      <c r="G26" s="8"/>
      <c r="H26" s="8">
        <f>H11</f>
        <v>14719756.800000001</v>
      </c>
      <c r="I26" s="80"/>
      <c r="J26" s="80"/>
      <c r="K26" s="80"/>
    </row>
    <row r="27" spans="1:15" x14ac:dyDescent="0.25">
      <c r="A27" s="80"/>
      <c r="B27" s="80"/>
      <c r="C27" s="80"/>
      <c r="D27" s="8"/>
      <c r="E27" s="8"/>
      <c r="F27" s="8"/>
      <c r="G27" s="8"/>
      <c r="H27" s="8"/>
      <c r="I27" s="80"/>
      <c r="J27" s="80"/>
      <c r="K27" s="80"/>
    </row>
    <row r="28" spans="1:15" x14ac:dyDescent="0.25">
      <c r="A28" s="80" t="s">
        <v>95</v>
      </c>
      <c r="B28" s="8">
        <f>B6+B7+B11-B20-B24</f>
        <v>97000000</v>
      </c>
      <c r="C28" s="8"/>
      <c r="D28" s="8">
        <f>D6+D7+D11-D20-D24</f>
        <v>109522000</v>
      </c>
      <c r="E28" s="8"/>
      <c r="F28" s="8">
        <f>F6+F7+F11-F20-F24</f>
        <v>105141120</v>
      </c>
      <c r="G28" s="8"/>
      <c r="H28" s="8">
        <f>H6+H7+H11-H20-H24</f>
        <v>118826989.11999999</v>
      </c>
      <c r="I28" s="80"/>
      <c r="J28" s="80"/>
      <c r="K28" s="80"/>
    </row>
    <row r="29" spans="1:15" x14ac:dyDescent="0.25">
      <c r="A29" s="80" t="s">
        <v>96</v>
      </c>
      <c r="B29" s="8">
        <f>B6+B7+B11</f>
        <v>97000000</v>
      </c>
      <c r="C29" s="8"/>
      <c r="D29" s="8">
        <f>D6+D7+D11</f>
        <v>110580000</v>
      </c>
      <c r="E29" s="8"/>
      <c r="F29" s="8">
        <f>F6+F7+F11</f>
        <v>105141120</v>
      </c>
      <c r="G29" s="8"/>
      <c r="H29" s="8">
        <f>H6+H7+H11</f>
        <v>119860876.8</v>
      </c>
      <c r="I29" s="80"/>
      <c r="J29" s="80"/>
      <c r="K29" s="80"/>
    </row>
    <row r="30" spans="1:15" x14ac:dyDescent="0.25">
      <c r="A30" s="80"/>
      <c r="B30" s="8"/>
      <c r="C30" s="8"/>
      <c r="D30" s="8"/>
      <c r="E30" s="8"/>
      <c r="F30" s="8"/>
      <c r="G30" s="8"/>
      <c r="H30" s="8"/>
      <c r="I30" s="80"/>
      <c r="J30" s="80"/>
      <c r="K30" s="80"/>
    </row>
    <row r="31" spans="1:15" x14ac:dyDescent="0.25">
      <c r="A31" s="80" t="s">
        <v>97</v>
      </c>
      <c r="B31" s="8">
        <f>B26</f>
        <v>-3000000</v>
      </c>
      <c r="C31" s="8"/>
      <c r="D31" s="8">
        <f>B11+D11</f>
        <v>10580000</v>
      </c>
      <c r="E31" s="8"/>
      <c r="F31" s="8">
        <f>D31+F26</f>
        <v>6199120</v>
      </c>
      <c r="G31" s="8"/>
      <c r="H31" s="8">
        <f>F31+H26</f>
        <v>20918876.800000001</v>
      </c>
      <c r="I31" s="80"/>
      <c r="J31" s="80"/>
      <c r="K31" s="80"/>
    </row>
    <row r="32" spans="1:15" x14ac:dyDescent="0.25">
      <c r="A32" s="80"/>
      <c r="B32" s="80"/>
      <c r="C32" s="80"/>
      <c r="D32" s="80"/>
      <c r="E32" s="80"/>
      <c r="F32" s="80"/>
      <c r="G32" s="80"/>
      <c r="H32" s="80"/>
      <c r="I32" s="80"/>
      <c r="J32" s="80"/>
      <c r="K32" s="80"/>
    </row>
    <row r="33" spans="1:11" x14ac:dyDescent="0.25">
      <c r="A33" s="80" t="s">
        <v>98</v>
      </c>
      <c r="B33" s="74">
        <f>(B$20+B$24)/(B$11-B$15)</f>
        <v>0</v>
      </c>
      <c r="C33" s="80"/>
      <c r="D33" s="74">
        <f>(D$20+D$24)/(D$11-D$15)</f>
        <v>0.1</v>
      </c>
      <c r="E33" s="80"/>
      <c r="F33" s="74">
        <f>(F$20+F$24)/(F$11-F$15)</f>
        <v>0</v>
      </c>
      <c r="G33" s="80"/>
      <c r="H33" s="74">
        <f>(H$20+H$24)/(H$11-H$15)</f>
        <v>0.1</v>
      </c>
      <c r="I33" s="80"/>
      <c r="J33" s="80"/>
      <c r="K33" s="80"/>
    </row>
    <row r="34" spans="1:11" x14ac:dyDescent="0.25">
      <c r="A34" s="80"/>
      <c r="B34" s="80"/>
      <c r="C34" s="80"/>
      <c r="D34" s="80"/>
      <c r="E34" s="80"/>
      <c r="F34" s="80"/>
      <c r="G34" s="80"/>
      <c r="H34" s="80"/>
      <c r="I34" s="80"/>
      <c r="J34" s="80"/>
      <c r="K34" s="80"/>
    </row>
    <row r="35" spans="1:11" ht="30" x14ac:dyDescent="0.25">
      <c r="A35" s="78" t="s">
        <v>39</v>
      </c>
      <c r="B35" s="80"/>
      <c r="C35" s="80"/>
      <c r="D35" s="80"/>
      <c r="E35" s="80"/>
      <c r="F35" s="80"/>
      <c r="G35" s="80"/>
      <c r="H35" s="80"/>
      <c r="I35" s="80"/>
      <c r="J35" s="80"/>
      <c r="K35" s="80"/>
    </row>
    <row r="36" spans="1:11" x14ac:dyDescent="0.25">
      <c r="D36" s="12"/>
    </row>
    <row r="37" spans="1:11" ht="120" x14ac:dyDescent="0.25">
      <c r="A37" s="79" t="s">
        <v>56</v>
      </c>
    </row>
    <row r="38" spans="1:11" x14ac:dyDescent="0.25">
      <c r="D38" s="13"/>
      <c r="H38" s="13"/>
      <c r="I38" s="114"/>
    </row>
    <row r="39" spans="1:11" ht="195" x14ac:dyDescent="0.25">
      <c r="A39" s="79" t="s">
        <v>57</v>
      </c>
      <c r="D39" s="13"/>
      <c r="H39" s="13"/>
      <c r="I39" s="114"/>
    </row>
    <row r="40" spans="1:11" x14ac:dyDescent="0.25">
      <c r="H40" s="13"/>
    </row>
    <row r="41" spans="1:11" x14ac:dyDescent="0.25">
      <c r="D41" s="15"/>
      <c r="H41" s="14"/>
      <c r="K41" s="14"/>
    </row>
    <row r="42" spans="1:11" x14ac:dyDescent="0.25">
      <c r="D42" s="15" t="s">
        <v>15</v>
      </c>
    </row>
    <row r="43" spans="1:11" x14ac:dyDescent="0.25">
      <c r="D43" s="12"/>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9"/>
  <sheetViews>
    <sheetView showGridLines="0" zoomScaleNormal="100" zoomScaleSheetLayoutView="100" workbookViewId="0">
      <selection activeCell="A29" sqref="A29"/>
    </sheetView>
  </sheetViews>
  <sheetFormatPr defaultRowHeight="14.25" x14ac:dyDescent="0.25"/>
  <cols>
    <col min="1" max="1" width="51.42578125" style="2" bestFit="1" customWidth="1"/>
    <col min="2" max="2" width="29.5703125" style="2" customWidth="1"/>
    <col min="3" max="3" width="15.85546875" style="3" customWidth="1"/>
    <col min="4" max="4" width="9.28515625" style="2" bestFit="1" customWidth="1"/>
    <col min="5" max="5" width="9.42578125" style="2" bestFit="1" customWidth="1"/>
    <col min="6" max="6" width="1.5703125" style="2" customWidth="1"/>
    <col min="7" max="7" width="4" style="2" customWidth="1"/>
    <col min="8" max="16384" width="9.140625" style="2"/>
  </cols>
  <sheetData>
    <row r="1" spans="1:5" ht="15" x14ac:dyDescent="0.25">
      <c r="A1" s="17" t="s">
        <v>41</v>
      </c>
      <c r="B1" s="17"/>
      <c r="C1" s="18"/>
      <c r="D1" s="4"/>
    </row>
    <row r="2" spans="1:5" ht="15" x14ac:dyDescent="0.25">
      <c r="A2" s="17" t="s">
        <v>8</v>
      </c>
      <c r="B2" s="123" t="s">
        <v>9</v>
      </c>
      <c r="C2" s="123"/>
      <c r="D2" s="10"/>
      <c r="E2" s="10"/>
    </row>
    <row r="3" spans="1:5" ht="15" x14ac:dyDescent="0.25">
      <c r="A3" s="17" t="s">
        <v>10</v>
      </c>
      <c r="B3" s="122" t="s">
        <v>11</v>
      </c>
      <c r="C3" s="122"/>
      <c r="D3" s="10"/>
      <c r="E3" s="11"/>
    </row>
    <row r="4" spans="1:5" ht="15" x14ac:dyDescent="0.25">
      <c r="A4" s="17"/>
      <c r="B4" s="17"/>
      <c r="C4" s="18"/>
    </row>
    <row r="5" spans="1:5" ht="15" x14ac:dyDescent="0.25">
      <c r="A5" s="17"/>
      <c r="B5" s="19"/>
      <c r="C5" s="18"/>
    </row>
    <row r="6" spans="1:5" ht="51.75" customHeight="1" x14ac:dyDescent="0.25">
      <c r="A6" s="17" t="s">
        <v>12</v>
      </c>
      <c r="B6" s="20">
        <v>0.01</v>
      </c>
      <c r="C6" s="17"/>
      <c r="D6" s="5"/>
    </row>
    <row r="7" spans="1:5" ht="15" x14ac:dyDescent="0.25">
      <c r="A7" s="17" t="s">
        <v>21</v>
      </c>
      <c r="B7" s="21">
        <v>100000000</v>
      </c>
      <c r="C7" s="17"/>
      <c r="D7" s="5"/>
    </row>
    <row r="8" spans="1:5" ht="15" x14ac:dyDescent="0.25">
      <c r="A8" s="17" t="s">
        <v>22</v>
      </c>
      <c r="B8" s="21">
        <v>1000000</v>
      </c>
      <c r="C8" s="17"/>
      <c r="D8" s="5"/>
    </row>
    <row r="9" spans="1:5" ht="15" x14ac:dyDescent="0.25">
      <c r="A9" s="17" t="s">
        <v>13</v>
      </c>
      <c r="B9" s="22" t="s">
        <v>42</v>
      </c>
      <c r="C9" s="17"/>
      <c r="D9" s="5"/>
    </row>
    <row r="10" spans="1:5" ht="15" x14ac:dyDescent="0.25">
      <c r="A10" s="17"/>
      <c r="B10" s="23"/>
      <c r="C10" s="17"/>
      <c r="D10" s="5"/>
    </row>
    <row r="11" spans="1:5" ht="15" x14ac:dyDescent="0.25">
      <c r="A11" s="17"/>
      <c r="B11" s="17"/>
      <c r="C11" s="17"/>
      <c r="D11" s="5"/>
    </row>
    <row r="12" spans="1:5" ht="15" x14ac:dyDescent="0.25">
      <c r="A12" s="17"/>
      <c r="B12" s="17"/>
      <c r="C12" s="17"/>
      <c r="D12" s="5"/>
    </row>
    <row r="13" spans="1:5" ht="15" x14ac:dyDescent="0.25">
      <c r="A13" s="24"/>
      <c r="B13" s="24"/>
      <c r="C13" s="17"/>
      <c r="D13" s="5"/>
    </row>
    <row r="14" spans="1:5" ht="15" x14ac:dyDescent="0.25">
      <c r="A14" s="17" t="s">
        <v>14</v>
      </c>
      <c r="B14" s="25">
        <f>B7</f>
        <v>100000000</v>
      </c>
      <c r="C14" s="26" t="s">
        <v>42</v>
      </c>
      <c r="D14" s="5"/>
      <c r="E14" s="2" t="s">
        <v>15</v>
      </c>
    </row>
    <row r="15" spans="1:5" ht="15" x14ac:dyDescent="0.25">
      <c r="A15" s="17"/>
      <c r="B15" s="17"/>
      <c r="C15" s="17"/>
      <c r="D15" s="5"/>
    </row>
    <row r="16" spans="1:5" ht="15" x14ac:dyDescent="0.25">
      <c r="A16" s="17" t="s">
        <v>16</v>
      </c>
      <c r="B16" s="27">
        <v>0.01</v>
      </c>
      <c r="C16" s="17"/>
      <c r="D16" s="5"/>
    </row>
    <row r="17" spans="1:4" ht="15" x14ac:dyDescent="0.25">
      <c r="A17" s="17"/>
      <c r="B17" s="17"/>
      <c r="C17" s="17"/>
      <c r="D17" s="5"/>
    </row>
    <row r="18" spans="1:4" ht="15" x14ac:dyDescent="0.25">
      <c r="A18" s="17" t="s">
        <v>17</v>
      </c>
      <c r="B18" s="25">
        <f>B14*B16</f>
        <v>1000000</v>
      </c>
      <c r="C18" s="17"/>
      <c r="D18" s="5"/>
    </row>
    <row r="19" spans="1:4" ht="15" x14ac:dyDescent="0.25">
      <c r="A19" s="17"/>
      <c r="B19" s="17"/>
      <c r="C19" s="17"/>
      <c r="D19" s="5"/>
    </row>
    <row r="20" spans="1:4" ht="15" x14ac:dyDescent="0.25">
      <c r="A20" s="17" t="s">
        <v>18</v>
      </c>
      <c r="B20" s="28">
        <f>B18/4</f>
        <v>250000</v>
      </c>
      <c r="C20" s="17"/>
      <c r="D20" s="5"/>
    </row>
    <row r="21" spans="1:4" ht="15" x14ac:dyDescent="0.25">
      <c r="A21" s="17"/>
      <c r="B21" s="17"/>
      <c r="C21" s="17"/>
      <c r="D21" s="5"/>
    </row>
    <row r="22" spans="1:4" ht="15" x14ac:dyDescent="0.25">
      <c r="A22" s="17" t="s">
        <v>19</v>
      </c>
      <c r="B22" s="17">
        <v>0</v>
      </c>
      <c r="C22" s="17"/>
      <c r="D22" s="5"/>
    </row>
    <row r="23" spans="1:4" ht="15" x14ac:dyDescent="0.25">
      <c r="A23" s="17"/>
      <c r="B23" s="17"/>
      <c r="C23" s="17"/>
      <c r="D23" s="5"/>
    </row>
    <row r="24" spans="1:4" ht="15.75" thickBot="1" x14ac:dyDescent="0.3">
      <c r="A24" s="29" t="s">
        <v>23</v>
      </c>
      <c r="B24" s="30">
        <f>B20-B22</f>
        <v>250000</v>
      </c>
      <c r="C24" s="31" t="s">
        <v>20</v>
      </c>
      <c r="D24" s="5"/>
    </row>
    <row r="25" spans="1:4" ht="15.75" thickTop="1" x14ac:dyDescent="0.25">
      <c r="A25" s="17"/>
      <c r="B25" s="17"/>
      <c r="C25" s="18"/>
    </row>
    <row r="26" spans="1:4" ht="15" x14ac:dyDescent="0.25">
      <c r="A26" s="17"/>
      <c r="B26" s="17"/>
      <c r="C26" s="18"/>
    </row>
    <row r="27" spans="1:4" ht="28.5" customHeight="1" thickBot="1" x14ac:dyDescent="0.3">
      <c r="A27" s="32"/>
      <c r="B27" s="30"/>
      <c r="C27" s="29"/>
    </row>
    <row r="28" spans="1:4" ht="15" thickTop="1" x14ac:dyDescent="0.25">
      <c r="B28" s="6"/>
    </row>
    <row r="29" spans="1:4" ht="105" x14ac:dyDescent="0.25">
      <c r="A29" s="33" t="s">
        <v>43</v>
      </c>
      <c r="B29" s="6"/>
    </row>
  </sheetData>
  <mergeCells count="2">
    <mergeCell ref="B3:C3"/>
    <mergeCell ref="B2:C2"/>
  </mergeCells>
  <pageMargins left="0.7" right="0.7" top="0.75" bottom="0.75" header="0.3" footer="0.3"/>
  <pageSetup scale="9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workbookViewId="0">
      <selection activeCell="A30" sqref="A30"/>
    </sheetView>
  </sheetViews>
  <sheetFormatPr defaultRowHeight="15" x14ac:dyDescent="0.25"/>
  <cols>
    <col min="1" max="1" width="59.5703125" bestFit="1" customWidth="1"/>
    <col min="2" max="2" width="16.140625" customWidth="1"/>
    <col min="3" max="3" width="10.140625" bestFit="1" customWidth="1"/>
    <col min="4" max="4" width="11.140625" bestFit="1" customWidth="1"/>
    <col min="5" max="5" width="10" bestFit="1" customWidth="1"/>
  </cols>
  <sheetData>
    <row r="1" spans="1:5" x14ac:dyDescent="0.25">
      <c r="A1" s="34" t="s">
        <v>7</v>
      </c>
      <c r="B1" s="34"/>
      <c r="C1" s="34"/>
      <c r="D1" s="34"/>
      <c r="E1" s="9"/>
    </row>
    <row r="2" spans="1:5" x14ac:dyDescent="0.25">
      <c r="A2" s="34" t="s">
        <v>8</v>
      </c>
      <c r="B2" s="35">
        <v>42026</v>
      </c>
      <c r="C2" s="36" t="s">
        <v>25</v>
      </c>
      <c r="D2" s="35">
        <v>42094</v>
      </c>
      <c r="E2" s="9"/>
    </row>
    <row r="3" spans="1:5" x14ac:dyDescent="0.25">
      <c r="A3" s="34" t="s">
        <v>10</v>
      </c>
      <c r="B3" s="49" t="str">
        <f>'mgmt fee'!B3</f>
        <v>Future Fund Investment Company No.2 Pty Ltd.</v>
      </c>
      <c r="C3" s="49"/>
      <c r="D3" s="49"/>
      <c r="E3" s="9"/>
    </row>
    <row r="4" spans="1:5" x14ac:dyDescent="0.25">
      <c r="A4" s="34"/>
      <c r="B4" s="34"/>
      <c r="C4" s="34"/>
      <c r="D4" s="34"/>
      <c r="E4" s="9"/>
    </row>
    <row r="5" spans="1:5" x14ac:dyDescent="0.25">
      <c r="A5" s="34" t="s">
        <v>12</v>
      </c>
      <c r="B5" s="37">
        <v>2.5000000000000001E-3</v>
      </c>
      <c r="C5" s="34" t="s">
        <v>26</v>
      </c>
      <c r="D5" s="34"/>
      <c r="E5" s="9"/>
    </row>
    <row r="6" spans="1:5" x14ac:dyDescent="0.25">
      <c r="A6" s="34" t="s">
        <v>27</v>
      </c>
      <c r="B6" s="38">
        <v>10000000</v>
      </c>
      <c r="C6" s="34"/>
      <c r="D6" s="34"/>
      <c r="E6" s="9"/>
    </row>
    <row r="7" spans="1:5" x14ac:dyDescent="0.25">
      <c r="A7" s="34" t="s">
        <v>28</v>
      </c>
      <c r="B7" s="38">
        <v>100000</v>
      </c>
      <c r="C7" s="34"/>
      <c r="D7" s="34"/>
      <c r="E7" s="9"/>
    </row>
    <row r="8" spans="1:5" x14ac:dyDescent="0.25">
      <c r="A8" s="34" t="s">
        <v>29</v>
      </c>
      <c r="B8" s="34" t="s">
        <v>30</v>
      </c>
      <c r="C8" s="34"/>
      <c r="D8" s="34"/>
      <c r="E8" s="9"/>
    </row>
    <row r="9" spans="1:5" x14ac:dyDescent="0.25">
      <c r="A9" s="34"/>
      <c r="B9" s="34"/>
      <c r="C9" s="34"/>
      <c r="D9" s="34"/>
      <c r="E9" s="9"/>
    </row>
    <row r="10" spans="1:5" x14ac:dyDescent="0.25">
      <c r="A10" s="34"/>
      <c r="B10" s="34"/>
      <c r="C10" s="34"/>
      <c r="D10" s="34"/>
      <c r="E10" s="9"/>
    </row>
    <row r="11" spans="1:5" x14ac:dyDescent="0.25">
      <c r="A11" s="34"/>
      <c r="B11" s="34"/>
      <c r="C11" s="34"/>
      <c r="D11" s="34"/>
      <c r="E11" s="9"/>
    </row>
    <row r="12" spans="1:5" x14ac:dyDescent="0.25">
      <c r="A12" s="39"/>
      <c r="B12" s="39"/>
      <c r="C12" s="34"/>
      <c r="D12" s="34"/>
      <c r="E12" s="9"/>
    </row>
    <row r="13" spans="1:5" x14ac:dyDescent="0.25">
      <c r="A13" s="34" t="s">
        <v>14</v>
      </c>
      <c r="B13" s="40">
        <f>B6</f>
        <v>10000000</v>
      </c>
      <c r="C13" s="34" t="s">
        <v>31</v>
      </c>
      <c r="D13" s="34"/>
      <c r="E13" s="9"/>
    </row>
    <row r="14" spans="1:5" x14ac:dyDescent="0.25">
      <c r="A14" s="34"/>
      <c r="B14" s="34"/>
      <c r="C14" s="34"/>
      <c r="D14" s="34"/>
      <c r="E14" s="9"/>
    </row>
    <row r="15" spans="1:5" x14ac:dyDescent="0.25">
      <c r="A15" s="34" t="s">
        <v>32</v>
      </c>
      <c r="B15" s="41">
        <v>2.5000000000000001E-3</v>
      </c>
      <c r="C15" s="34"/>
      <c r="D15" s="34"/>
      <c r="E15" s="9"/>
    </row>
    <row r="16" spans="1:5" x14ac:dyDescent="0.25">
      <c r="A16" s="34"/>
      <c r="B16" s="34"/>
      <c r="C16" s="34"/>
      <c r="D16" s="34"/>
      <c r="E16" s="9"/>
    </row>
    <row r="17" spans="1:5" x14ac:dyDescent="0.25">
      <c r="A17" s="34" t="s">
        <v>33</v>
      </c>
      <c r="B17" s="40">
        <f>B13*B15</f>
        <v>25000</v>
      </c>
      <c r="C17" s="34"/>
      <c r="D17" s="34"/>
      <c r="E17" s="9"/>
    </row>
    <row r="18" spans="1:5" x14ac:dyDescent="0.25">
      <c r="A18" s="34"/>
      <c r="B18" s="34"/>
      <c r="C18" s="34"/>
      <c r="D18" s="34"/>
      <c r="E18" s="9"/>
    </row>
    <row r="19" spans="1:5" x14ac:dyDescent="0.25">
      <c r="A19" s="34" t="s">
        <v>34</v>
      </c>
      <c r="B19" s="42">
        <f>B17/90</f>
        <v>277.77777777777777</v>
      </c>
      <c r="C19" s="34"/>
      <c r="D19" s="34"/>
      <c r="E19" s="9"/>
    </row>
    <row r="20" spans="1:5" x14ac:dyDescent="0.25">
      <c r="A20" s="34"/>
      <c r="B20" s="34"/>
      <c r="C20" s="34"/>
      <c r="D20" s="34"/>
      <c r="E20" s="9"/>
    </row>
    <row r="21" spans="1:5" x14ac:dyDescent="0.25">
      <c r="A21" s="34" t="s">
        <v>35</v>
      </c>
      <c r="B21" s="43">
        <f>D27</f>
        <v>69</v>
      </c>
      <c r="C21" s="34"/>
      <c r="D21" s="34"/>
      <c r="E21" s="9"/>
    </row>
    <row r="22" spans="1:5" x14ac:dyDescent="0.25">
      <c r="A22" s="34"/>
      <c r="B22" s="34"/>
      <c r="C22" s="34"/>
      <c r="D22" s="34"/>
      <c r="E22" s="9"/>
    </row>
    <row r="23" spans="1:5" x14ac:dyDescent="0.25">
      <c r="A23" s="34" t="s">
        <v>19</v>
      </c>
      <c r="B23" s="34">
        <v>0</v>
      </c>
      <c r="C23" s="34"/>
      <c r="D23" s="34"/>
      <c r="E23" s="9"/>
    </row>
    <row r="24" spans="1:5" x14ac:dyDescent="0.25">
      <c r="A24" s="34"/>
      <c r="B24" s="34"/>
      <c r="C24" s="34"/>
      <c r="D24" s="34"/>
      <c r="E24" s="9"/>
    </row>
    <row r="25" spans="1:5" ht="15.75" thickBot="1" x14ac:dyDescent="0.3">
      <c r="A25" s="44" t="s">
        <v>36</v>
      </c>
      <c r="B25" s="45">
        <f>ROUND(B21*B19,0)</f>
        <v>19167</v>
      </c>
      <c r="C25" s="46" t="s">
        <v>20</v>
      </c>
      <c r="D25" s="34"/>
      <c r="E25" s="9"/>
    </row>
    <row r="26" spans="1:5" ht="15.75" thickTop="1" x14ac:dyDescent="0.25">
      <c r="A26" s="34"/>
      <c r="B26" s="34"/>
      <c r="C26" s="34"/>
      <c r="D26" s="34"/>
      <c r="E26" s="9"/>
    </row>
    <row r="27" spans="1:5" x14ac:dyDescent="0.25">
      <c r="A27" s="34"/>
      <c r="B27" s="47">
        <v>42026</v>
      </c>
      <c r="C27" s="47">
        <v>42094</v>
      </c>
      <c r="D27" s="48">
        <f>C27-B27+1</f>
        <v>69</v>
      </c>
      <c r="E27" s="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Incentive Calc (FF) </vt:lpstr>
      <vt:lpstr>incentive calc (DISB)</vt:lpstr>
      <vt:lpstr>Incentive Calc (OCM)</vt:lpstr>
      <vt:lpstr>mgmt fee</vt:lpstr>
      <vt:lpstr>mgmt fee on draws</vt:lpstr>
      <vt:lpstr>'incentive calc (DISB)'!Print_Area</vt:lpstr>
      <vt:lpstr>'Incentive Calc (FF) '!Print_Area</vt:lpstr>
      <vt:lpstr>'mgmt fee'!Print_Area</vt:lpstr>
    </vt:vector>
  </TitlesOfParts>
  <Company>Oakree Capital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Carlisle, Mel</dc:creator>
  <cp:lastModifiedBy>Levy, Dana</cp:lastModifiedBy>
  <cp:lastPrinted>2015-01-24T02:51:29Z</cp:lastPrinted>
  <dcterms:created xsi:type="dcterms:W3CDTF">2015-01-21T23:09:53Z</dcterms:created>
  <dcterms:modified xsi:type="dcterms:W3CDTF">2015-02-26T16:42:27Z</dcterms:modified>
</cp:coreProperties>
</file>